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80" activeTab="0"/>
  </bookViews>
  <sheets>
    <sheet name="Chantier" sheetId="1" r:id="rId1"/>
    <sheet name="Développement" sheetId="2" r:id="rId2"/>
    <sheet name="Dessins" sheetId="3" r:id="rId3"/>
  </sheets>
  <definedNames>
    <definedName name="_xlnm.Print_Area" localSheetId="0">'Chantier'!$A$4:$I$234</definedName>
    <definedName name="_xlnm.Print_Titles" localSheetId="0">'Chantier'!$1:$3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E13" authorId="0">
      <text>
        <r>
          <rPr>
            <b/>
            <sz val="10"/>
            <rFont val="Tahoma"/>
            <family val="2"/>
          </rPr>
          <t>Dilution supplémentaire à celle déjà incluse aux réserves géologiques.
Voir le fichier "Dilution_chantier" si vous désirez vérifier votre estimation.</t>
        </r>
      </text>
    </comment>
    <comment ref="C118" authorId="0">
      <text>
        <r>
          <rPr>
            <b/>
            <sz val="10"/>
            <rFont val="Tahoma"/>
            <family val="2"/>
          </rPr>
          <t>Voir l'onglet "Développement" pour déterminer le tonnage non récupéré</t>
        </r>
        <r>
          <rPr>
            <sz val="10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0"/>
            <rFont val="Tahoma"/>
            <family val="2"/>
          </rPr>
          <t>Mesurée perpendiculairement au gisement</t>
        </r>
      </text>
    </comment>
    <comment ref="D133" authorId="0">
      <text>
        <r>
          <rPr>
            <b/>
            <sz val="10"/>
            <rFont val="Tahoma"/>
            <family val="2"/>
          </rPr>
          <t>Entrer le nombre de chantiers actifs en fonction du niveau de production désiré</t>
        </r>
      </text>
    </comment>
    <comment ref="I81" authorId="0">
      <text>
        <r>
          <rPr>
            <b/>
            <sz val="11"/>
            <rFont val="Tahoma"/>
            <family val="2"/>
          </rPr>
          <t>Identifier le chemin critique en entrant des chiffres différents</t>
        </r>
        <r>
          <rPr>
            <sz val="11"/>
            <rFont val="Tahoma"/>
            <family val="2"/>
          </rPr>
          <t xml:space="preserve">
</t>
        </r>
      </text>
    </comment>
    <comment ref="I71" authorId="0">
      <text>
        <r>
          <rPr>
            <b/>
            <sz val="11"/>
            <rFont val="Tahoma"/>
            <family val="2"/>
          </rPr>
          <t>Identifier le chemin critique en entrant des chiffres différents</t>
        </r>
        <r>
          <rPr>
            <sz val="11"/>
            <rFont val="Tahoma"/>
            <family val="2"/>
          </rPr>
          <t xml:space="preserve">
</t>
        </r>
      </text>
    </comment>
    <comment ref="D65" authorId="0">
      <text>
        <r>
          <rPr>
            <b/>
            <sz val="11"/>
            <rFont val="Tahoma"/>
            <family val="2"/>
          </rPr>
          <t xml:space="preserve">Ce pourcentage augmente le temps de développement (voir cellules E96 et E97)
</t>
        </r>
      </text>
    </comment>
    <comment ref="D105" authorId="0">
      <text>
        <r>
          <rPr>
            <b/>
            <sz val="10"/>
            <rFont val="Tahoma"/>
            <family val="2"/>
          </rPr>
          <t xml:space="preserve">Voir le fichier "Productivité_Chambre- Magasin" si vous désirez vérifier la productivité pour votre opération
</t>
        </r>
        <r>
          <rPr>
            <sz val="10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0"/>
            <rFont val="Tahoma"/>
            <family val="2"/>
          </rPr>
          <t>Hauteur du chantier à miner, incluant le sous-niveau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C15" authorId="0">
      <text>
        <r>
          <rPr>
            <b/>
            <sz val="10"/>
            <rFont val="Tahoma"/>
            <family val="2"/>
          </rPr>
          <t>Dans le cas où le point de soutirage demeure plein de minerai, il faut inscrire "0" dans la largeur du point de soutirage</t>
        </r>
      </text>
    </comment>
  </commentList>
</comments>
</file>

<file path=xl/sharedStrings.xml><?xml version="1.0" encoding="utf-8"?>
<sst xmlns="http://schemas.openxmlformats.org/spreadsheetml/2006/main" count="369" uniqueCount="204">
  <si>
    <t>tonnes</t>
  </si>
  <si>
    <t>Paramètres physiques</t>
  </si>
  <si>
    <t>Paramètres des points de soutirage</t>
  </si>
  <si>
    <t>PS aux extrémités</t>
  </si>
  <si>
    <t>Nombre</t>
  </si>
  <si>
    <t>Perte entre les points de soutirage</t>
  </si>
  <si>
    <t>Monterie</t>
  </si>
  <si>
    <t>Minerai usiné</t>
  </si>
  <si>
    <t>hommes</t>
  </si>
  <si>
    <t>quarts</t>
  </si>
  <si>
    <t>mois</t>
  </si>
  <si>
    <t>tonnes/quart</t>
  </si>
  <si>
    <t>foisonnement</t>
  </si>
  <si>
    <t>TOTAL</t>
  </si>
  <si>
    <t>Dimensions</t>
  </si>
  <si>
    <t>CHANTIER</t>
  </si>
  <si>
    <t>DÉVELOPPEMENT</t>
  </si>
  <si>
    <t>MONTERIE</t>
  </si>
  <si>
    <t>Résumé</t>
  </si>
  <si>
    <t>Épaisseur du pilier entre la monterie et le chantier</t>
  </si>
  <si>
    <t>PAR LE NIVEAU</t>
  </si>
  <si>
    <t>SUPÉRIEUR</t>
  </si>
  <si>
    <t>INFÉRIEUR</t>
  </si>
  <si>
    <t xml:space="preserve">TOTAL </t>
  </si>
  <si>
    <t>2.1 - Paramètres du développement</t>
  </si>
  <si>
    <t>3.0 - Calcul de la production en chantier</t>
  </si>
  <si>
    <t>3.2 - Calcul de la vie du chantier</t>
  </si>
  <si>
    <t>Autres ouvertures</t>
  </si>
  <si>
    <t>°</t>
  </si>
  <si>
    <t>4.0 - Remblayage</t>
  </si>
  <si>
    <t>PS</t>
  </si>
  <si>
    <t>Autres</t>
  </si>
  <si>
    <t>Durée effective de remblayage par quart</t>
  </si>
  <si>
    <t xml:space="preserve"> ou</t>
  </si>
  <si>
    <t>Séquence</t>
  </si>
  <si>
    <t>Minerai des réserves</t>
  </si>
  <si>
    <t>Stérile</t>
  </si>
  <si>
    <t>DÉVELOPPEMENT + CHANTIER</t>
  </si>
  <si>
    <r>
      <t>3</t>
    </r>
    <r>
      <rPr>
        <i/>
        <u val="single"/>
        <sz val="12"/>
        <rFont val="Arial Black"/>
        <family val="2"/>
      </rPr>
      <t>.3 - Calcul de la production en fonction du nombre de chantiers actifs</t>
    </r>
  </si>
  <si>
    <t>Total</t>
  </si>
  <si>
    <t>jours ouvrables</t>
  </si>
  <si>
    <t>1.0 - Paramètres physiques du chantier</t>
  </si>
  <si>
    <t>Hauteur (m)</t>
  </si>
  <si>
    <t>Différence d'élévation (m)</t>
  </si>
  <si>
    <t>Longueur (m)</t>
  </si>
  <si>
    <t>.</t>
  </si>
  <si>
    <t>Angle de repos</t>
  </si>
  <si>
    <t>Vue transversale</t>
  </si>
  <si>
    <t xml:space="preserve"> jours ouvrables</t>
  </si>
  <si>
    <t>Nombre de quarts requis</t>
  </si>
  <si>
    <t>tonnes/heure</t>
  </si>
  <si>
    <t>tonnes/m³</t>
  </si>
  <si>
    <t>Espacement réel entre les sous-niveaux (m)</t>
  </si>
  <si>
    <t>mètres</t>
  </si>
  <si>
    <t>Nombre de sous-niveaux</t>
  </si>
  <si>
    <t>Galeries inférieures</t>
  </si>
  <si>
    <t>Galeries supérieures</t>
  </si>
  <si>
    <t>Points de soutirage</t>
  </si>
  <si>
    <t>Durée de vie du chantier (production)</t>
  </si>
  <si>
    <t>Minerai dilué (Dév.)</t>
  </si>
  <si>
    <t>Volume (m³)</t>
  </si>
  <si>
    <t>Chantier typique</t>
  </si>
  <si>
    <t>Largeur (m)</t>
  </si>
  <si>
    <t>Hauteur verticale (m)</t>
  </si>
  <si>
    <t>Pendage (°)</t>
  </si>
  <si>
    <t>Hauteur selon le pendage (m)</t>
  </si>
  <si>
    <t>Densité (t/m³)</t>
  </si>
  <si>
    <t>Facteur de</t>
  </si>
  <si>
    <t>Tonnage</t>
  </si>
  <si>
    <t>Teneur (g/t)</t>
  </si>
  <si>
    <t xml:space="preserve">Dilution </t>
  </si>
  <si>
    <t xml:space="preserve">Monterie Alimak </t>
  </si>
  <si>
    <t>Largeur</t>
  </si>
  <si>
    <t>Hauteur</t>
  </si>
  <si>
    <t>T/m d'avance</t>
  </si>
  <si>
    <t># d'hommes</t>
  </si>
  <si>
    <t>Mètres d'avance/q</t>
  </si>
  <si>
    <t>Longueur</t>
  </si>
  <si>
    <t>Dilution</t>
  </si>
  <si>
    <t>Teneur diluée (g/t)</t>
  </si>
  <si>
    <t>Galerie 1</t>
  </si>
  <si>
    <t>Galerie 2</t>
  </si>
  <si>
    <t>Tonnes/mètre</t>
  </si>
  <si>
    <t>Tonnes</t>
  </si>
  <si>
    <t>Accès au chantier</t>
  </si>
  <si>
    <t>Nombre de quarts/jour</t>
  </si>
  <si>
    <t>Nombre de jours ouvrables/mois</t>
  </si>
  <si>
    <t>Imprévus</t>
  </si>
  <si>
    <r>
      <t>2.2 - Développement requis</t>
    </r>
    <r>
      <rPr>
        <sz val="11"/>
        <rFont val="Arial Black"/>
        <family val="2"/>
      </rPr>
      <t xml:space="preserve"> (voir l'onglet "Développement")</t>
    </r>
  </si>
  <si>
    <t>Niveau supérieur</t>
  </si>
  <si>
    <t>Avances/quart</t>
  </si>
  <si>
    <t># de jours requis</t>
  </si>
  <si>
    <t>d'installation</t>
  </si>
  <si>
    <t># de jours</t>
  </si>
  <si>
    <t>Niveau inférieur</t>
  </si>
  <si>
    <t xml:space="preserve"># de jours </t>
  </si>
  <si>
    <t>2.0 - Développement du chantier</t>
  </si>
  <si>
    <t>DURÉE DU DÉVELOPPEMENT</t>
  </si>
  <si>
    <t>(JOURS OUVRABLES)</t>
  </si>
  <si>
    <t># de quarts/jour</t>
  </si>
  <si>
    <t>3.1 - Paramètres du minage</t>
  </si>
  <si>
    <t>Productivité</t>
  </si>
  <si>
    <t>tonnes/q-h</t>
  </si>
  <si>
    <t>Tonnage restant dans le chantier</t>
  </si>
  <si>
    <t>Temps requis pour déblayer le reste du chantier</t>
  </si>
  <si>
    <t>Tonnage usiné moyen/jour (base annuelle)</t>
  </si>
  <si>
    <t>Tonnage miné du chantier (dilution incluse)</t>
  </si>
  <si>
    <t>Tonnage total</t>
  </si>
  <si>
    <t>m³</t>
  </si>
  <si>
    <t xml:space="preserve"> - Construction des barricades</t>
  </si>
  <si>
    <t>Nombre de barricades</t>
  </si>
  <si>
    <t>Nombre de jours/barricade</t>
  </si>
  <si>
    <t>Jours ouvrables</t>
  </si>
  <si>
    <t>heures effectives/quart</t>
  </si>
  <si>
    <t>quarts/jour</t>
  </si>
  <si>
    <t xml:space="preserve"> (selon l'horaire de développement inscrit à la section 2.3)</t>
  </si>
  <si>
    <t>Minerai</t>
  </si>
  <si>
    <t>onces</t>
  </si>
  <si>
    <t>Hauteur verticale</t>
  </si>
  <si>
    <t>Pendage</t>
  </si>
  <si>
    <t>Densité</t>
  </si>
  <si>
    <t>Réserves</t>
  </si>
  <si>
    <t>Perte entre PS</t>
  </si>
  <si>
    <t>Récupération à l'usine</t>
  </si>
  <si>
    <t>Onces</t>
  </si>
  <si>
    <t>Minerai usiné du développement</t>
  </si>
  <si>
    <t>Minerai usiné du chantier</t>
  </si>
  <si>
    <t>2.0 - Développement du chantier (suite)</t>
  </si>
  <si>
    <t>2.4 - Calcul de la durée du développement</t>
  </si>
  <si>
    <t xml:space="preserve">Monterie boisée </t>
  </si>
  <si>
    <t>2.3 - Paramètres de l'horaire de développement</t>
  </si>
  <si>
    <r>
      <t>3</t>
    </r>
    <r>
      <rPr>
        <i/>
        <u val="single"/>
        <sz val="12"/>
        <rFont val="Arial Black"/>
        <family val="2"/>
      </rPr>
      <t>.3.1 - Calcul du nombre de chantiers en phase de développement pour maintenir le taux de production</t>
    </r>
  </si>
  <si>
    <t>4.1 - Calcul du volume à remblayer</t>
  </si>
  <si>
    <t>4.2 - Calcul du temps requis pour le remblayage</t>
  </si>
  <si>
    <t>Cacacité de remblayage (tonnes solides/heure)</t>
  </si>
  <si>
    <t xml:space="preserve">   lors du développement du chantier.</t>
  </si>
  <si>
    <t xml:space="preserve">Sous-niveau 1  </t>
  </si>
  <si>
    <t xml:space="preserve">Sous-niveau 2  </t>
  </si>
  <si>
    <t>Sous-niveau 1</t>
  </si>
  <si>
    <t>Sous-niveau 2</t>
  </si>
  <si>
    <t>Sous-niveau 3</t>
  </si>
  <si>
    <t>Durée +</t>
  </si>
  <si>
    <t>Imprévus  =</t>
  </si>
  <si>
    <t>Nombre d'hommes/quart</t>
  </si>
  <si>
    <t>Jours d'usinage/année</t>
  </si>
  <si>
    <t>Tonnage actuel/jour</t>
  </si>
  <si>
    <t xml:space="preserve"> = Tonnage récupéré dans le chantier</t>
  </si>
  <si>
    <t>permettra de calculer un ratio optimal du temps de production sur le temps de déblayage final qui est égal à</t>
  </si>
  <si>
    <t>vous permettra de calculer un ratio optimal du temps de production sur le temps de développement qui est égal à</t>
  </si>
  <si>
    <t>de développement.</t>
  </si>
  <si>
    <t>Galeries</t>
  </si>
  <si>
    <t>Volume à remblayer</t>
  </si>
  <si>
    <t xml:space="preserve"> - Temps de remblayage</t>
  </si>
  <si>
    <t xml:space="preserve"> - Temps total requis</t>
  </si>
  <si>
    <t>Monteries</t>
  </si>
  <si>
    <t>CALCUL DU MINERAI MINÉ PROVENANT DES RÉSERVES ORIGINALES LORS DU DÉVELOPPEMENT DU CHANTIER</t>
  </si>
  <si>
    <t>Minerai usiné *</t>
  </si>
  <si>
    <t>Tonnage actuel de minerai/jour</t>
  </si>
  <si>
    <t>Tonnage moyen de             minerai usiné/jour                                     (base annuelle)</t>
  </si>
  <si>
    <t>Densité           (t/m³)</t>
  </si>
  <si>
    <t>Largeur du PS (m)</t>
  </si>
  <si>
    <t>du minerai (°)</t>
  </si>
  <si>
    <t>Aucun PS aux extrémités</t>
  </si>
  <si>
    <t>Esp. réel</t>
  </si>
  <si>
    <t>Un PS à l'une des extrémités</t>
  </si>
  <si>
    <t>Monterie centrale dans le minerai</t>
  </si>
  <si>
    <t>Distance horizontale (m)</t>
  </si>
  <si>
    <t>Monterie centrale dans le stérile dans une éponte avec sous-niveaux à espacement régulier</t>
  </si>
  <si>
    <t>Longueur de la monterie</t>
  </si>
  <si>
    <t>SOUS-NIVEAUX</t>
  </si>
  <si>
    <t>Tonnes/S-N</t>
  </si>
  <si>
    <t>Hauteur S-N</t>
  </si>
  <si>
    <t>Largeur S-N</t>
  </si>
  <si>
    <t>Longueur S-N</t>
  </si>
  <si>
    <t>Espacement prévu (m)</t>
  </si>
  <si>
    <t>Sous-niveaux</t>
  </si>
  <si>
    <t>Évaluation de chantier en Chambre-Magasin</t>
  </si>
  <si>
    <t xml:space="preserve"> pour maintenir</t>
  </si>
  <si>
    <t>une productivité maximale avec un nombre minimal de chantiers actifs.</t>
  </si>
  <si>
    <t>Minerai (réserves)</t>
  </si>
  <si>
    <t>Tonnes cassées/jour (en production)</t>
  </si>
  <si>
    <t>déblayage final.</t>
  </si>
  <si>
    <t>Vue longitudinale</t>
  </si>
  <si>
    <t>Ouvertures pour Alimak</t>
  </si>
  <si>
    <t xml:space="preserve"> -  Perte entre les points de soutirage</t>
  </si>
  <si>
    <t>Monterie dans le minerai à une extrémité avec sous-niveaux</t>
  </si>
  <si>
    <r>
      <t>Note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>Les calculs</t>
    </r>
    <r>
      <rPr>
        <sz val="10"/>
        <rFont val="Arial"/>
        <family val="0"/>
      </rPr>
      <t xml:space="preserve"> supposent que l'horaire de travail est le même pour la production et le développement.</t>
    </r>
  </si>
  <si>
    <t>* Le minerai usiné du chantier provient des réserves géologiques diluées (section 1.0) moins la portion des réserves extraites</t>
  </si>
  <si>
    <t>Densité du remblai in situ</t>
  </si>
  <si>
    <t>Mètres d'avance/q-h</t>
  </si>
  <si>
    <t>Nombre de chantiers (en production)</t>
  </si>
  <si>
    <t>Nbre de chantiers (en phase de déblayage)</t>
  </si>
  <si>
    <t>Nombre de chantiers (en développement)</t>
  </si>
  <si>
    <t>Afin de maintenir un taux constant de production, le nombre de chantiers en production doit être proportionnel au nombre de chantiers en phase de</t>
  </si>
  <si>
    <t>Afin de maintenir un taux constant de production, le nombre de chantiers en production doit être proportionnel au nombre de chantiers en phase</t>
  </si>
  <si>
    <t>5.0 - Résumé</t>
  </si>
  <si>
    <t>Monterie ouverte</t>
  </si>
  <si>
    <t>Tonnes déblayées/jour (en production)</t>
  </si>
  <si>
    <r>
      <t>Note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Les calculs </t>
    </r>
    <r>
      <rPr>
        <sz val="10"/>
        <rFont val="Arial"/>
        <family val="0"/>
      </rPr>
      <t>supposent que l'horaire de travail est le même pour la production et le déblayage du minerai.</t>
    </r>
  </si>
  <si>
    <t>Configurations de la monterie selon sa position par rapport au chantier</t>
  </si>
  <si>
    <t xml:space="preserve"> - Chantier typique</t>
  </si>
  <si>
    <t xml:space="preserve"> - Paramètres des points de soutirage</t>
  </si>
  <si>
    <t>Version : 18 décembre 2002</t>
  </si>
  <si>
    <t>Tonnes/quart (déblayage final du chantier)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</si>
</sst>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#,##0.0"/>
    <numFmt numFmtId="179" formatCode="#,##0.000"/>
  </numFmts>
  <fonts count="30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vertAlign val="subscript"/>
      <sz val="10"/>
      <name val="Arial"/>
      <family val="2"/>
    </font>
    <font>
      <u val="single"/>
      <sz val="14"/>
      <name val="Arial Black"/>
      <family val="2"/>
    </font>
    <font>
      <b/>
      <u val="single"/>
      <sz val="10"/>
      <name val="Arial"/>
      <family val="2"/>
    </font>
    <font>
      <u val="single"/>
      <sz val="12"/>
      <name val="Arial Black"/>
      <family val="2"/>
    </font>
    <font>
      <u val="single"/>
      <sz val="18"/>
      <name val="Arial Black"/>
      <family val="2"/>
    </font>
    <font>
      <b/>
      <sz val="16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1"/>
      <name val="Arial Black"/>
      <family val="2"/>
    </font>
    <font>
      <u val="single"/>
      <sz val="16"/>
      <name val="Arial Black"/>
      <family val="2"/>
    </font>
    <font>
      <i/>
      <u val="single"/>
      <sz val="12"/>
      <name val="Arial Black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1" applyAlignment="1">
      <alignment horizontal="center"/>
    </xf>
    <xf numFmtId="9" fontId="0" fillId="0" borderId="0" xfId="21" applyFont="1" applyAlignment="1">
      <alignment horizontal="center"/>
    </xf>
    <xf numFmtId="0" fontId="9" fillId="0" borderId="0" xfId="0" applyFont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left" indent="1"/>
    </xf>
    <xf numFmtId="4" fontId="0" fillId="2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15" fillId="3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164" fontId="6" fillId="2" borderId="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2" fontId="6" fillId="2" borderId="17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21" xfId="0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5" borderId="28" xfId="0" applyFont="1" applyFill="1" applyBorder="1" applyAlignment="1">
      <alignment/>
    </xf>
    <xf numFmtId="164" fontId="6" fillId="0" borderId="26" xfId="0" applyNumberFormat="1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17" fillId="0" borderId="0" xfId="0" applyFont="1" applyAlignment="1">
      <alignment/>
    </xf>
    <xf numFmtId="0" fontId="14" fillId="0" borderId="0" xfId="0" applyFont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" xfId="0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 horizontal="center"/>
    </xf>
    <xf numFmtId="9" fontId="0" fillId="4" borderId="2" xfId="2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9" fontId="0" fillId="4" borderId="10" xfId="2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9" fontId="0" fillId="4" borderId="0" xfId="2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9" fontId="0" fillId="4" borderId="2" xfId="21" applyFill="1" applyBorder="1" applyAlignment="1">
      <alignment/>
    </xf>
    <xf numFmtId="164" fontId="3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indent="6"/>
    </xf>
    <xf numFmtId="3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22" fillId="0" borderId="0" xfId="0" applyFont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3" fillId="2" borderId="19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" borderId="19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1" fontId="0" fillId="2" borderId="31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right"/>
    </xf>
    <xf numFmtId="2" fontId="2" fillId="2" borderId="26" xfId="0" applyNumberFormat="1" applyFont="1" applyFill="1" applyBorder="1" applyAlignment="1">
      <alignment/>
    </xf>
    <xf numFmtId="0" fontId="2" fillId="2" borderId="40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6" borderId="43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4" borderId="37" xfId="0" applyFill="1" applyBorder="1" applyAlignment="1">
      <alignment/>
    </xf>
    <xf numFmtId="0" fontId="6" fillId="0" borderId="34" xfId="0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4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5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3" fillId="4" borderId="0" xfId="0" applyFont="1" applyFill="1" applyBorder="1" applyAlignment="1">
      <alignment horizontal="left" indent="2"/>
    </xf>
    <xf numFmtId="165" fontId="2" fillId="4" borderId="2" xfId="21" applyNumberFormat="1" applyFont="1" applyFill="1" applyBorder="1" applyAlignment="1">
      <alignment/>
    </xf>
    <xf numFmtId="0" fontId="26" fillId="0" borderId="0" xfId="0" applyFont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54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" fillId="6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4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28575</xdr:rowOff>
    </xdr:from>
    <xdr:to>
      <xdr:col>8</xdr:col>
      <xdr:colOff>800100</xdr:colOff>
      <xdr:row>20</xdr:row>
      <xdr:rowOff>142875</xdr:rowOff>
    </xdr:to>
    <xdr:grpSp>
      <xdr:nvGrpSpPr>
        <xdr:cNvPr id="1" name="Group 454"/>
        <xdr:cNvGrpSpPr>
          <a:grpSpLocks/>
        </xdr:cNvGrpSpPr>
      </xdr:nvGrpSpPr>
      <xdr:grpSpPr>
        <a:xfrm>
          <a:off x="5210175" y="1885950"/>
          <a:ext cx="3333750" cy="1895475"/>
          <a:chOff x="547" y="198"/>
          <a:chExt cx="350" cy="199"/>
        </a:xfrm>
        <a:solidFill>
          <a:srgbClr val="FFFFFF"/>
        </a:solidFill>
      </xdr:grpSpPr>
      <xdr:grpSp>
        <xdr:nvGrpSpPr>
          <xdr:cNvPr id="2" name="Group 452"/>
          <xdr:cNvGrpSpPr>
            <a:grpSpLocks/>
          </xdr:cNvGrpSpPr>
        </xdr:nvGrpSpPr>
        <xdr:grpSpPr>
          <a:xfrm>
            <a:off x="547" y="198"/>
            <a:ext cx="350" cy="189"/>
            <a:chOff x="539" y="198"/>
            <a:chExt cx="350" cy="189"/>
          </a:xfrm>
          <a:solidFill>
            <a:srgbClr val="FFFFFF"/>
          </a:solidFill>
        </xdr:grpSpPr>
        <xdr:sp>
          <xdr:nvSpPr>
            <xdr:cNvPr id="3" name="Polygon 301"/>
            <xdr:cNvSpPr>
              <a:spLocks/>
            </xdr:cNvSpPr>
          </xdr:nvSpPr>
          <xdr:spPr>
            <a:xfrm>
              <a:off x="587" y="198"/>
              <a:ext cx="49" cy="133"/>
            </a:xfrm>
            <a:custGeom>
              <a:pathLst>
                <a:path h="548" w="290">
                  <a:moveTo>
                    <a:pt x="0" y="501"/>
                  </a:moveTo>
                  <a:lnTo>
                    <a:pt x="70" y="329"/>
                  </a:lnTo>
                  <a:lnTo>
                    <a:pt x="192" y="111"/>
                  </a:lnTo>
                  <a:lnTo>
                    <a:pt x="246" y="4"/>
                  </a:lnTo>
                  <a:lnTo>
                    <a:pt x="290" y="0"/>
                  </a:lnTo>
                  <a:lnTo>
                    <a:pt x="216" y="134"/>
                  </a:lnTo>
                  <a:lnTo>
                    <a:pt x="134" y="287"/>
                  </a:lnTo>
                  <a:lnTo>
                    <a:pt x="64" y="419"/>
                  </a:lnTo>
                  <a:lnTo>
                    <a:pt x="12" y="548"/>
                  </a:lnTo>
                  <a:lnTo>
                    <a:pt x="2" y="499"/>
                  </a:lnTo>
                  <a:lnTo>
                    <a:pt x="0" y="50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Polygon 302"/>
            <xdr:cNvSpPr>
              <a:spLocks/>
            </xdr:cNvSpPr>
          </xdr:nvSpPr>
          <xdr:spPr>
            <a:xfrm>
              <a:off x="588" y="305"/>
              <a:ext cx="10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Polygon 303"/>
            <xdr:cNvSpPr>
              <a:spLocks/>
            </xdr:cNvSpPr>
          </xdr:nvSpPr>
          <xdr:spPr>
            <a:xfrm>
              <a:off x="622" y="207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Polygon 304"/>
            <xdr:cNvSpPr>
              <a:spLocks/>
            </xdr:cNvSpPr>
          </xdr:nvSpPr>
          <xdr:spPr>
            <a:xfrm>
              <a:off x="539" y="305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05"/>
            <xdr:cNvSpPr>
              <a:spLocks/>
            </xdr:cNvSpPr>
          </xdr:nvSpPr>
          <xdr:spPr>
            <a:xfrm>
              <a:off x="550" y="305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06"/>
            <xdr:cNvSpPr>
              <a:spLocks/>
            </xdr:cNvSpPr>
          </xdr:nvSpPr>
          <xdr:spPr>
            <a:xfrm>
              <a:off x="550" y="316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307"/>
            <xdr:cNvSpPr>
              <a:spLocks/>
            </xdr:cNvSpPr>
          </xdr:nvSpPr>
          <xdr:spPr>
            <a:xfrm>
              <a:off x="667" y="217"/>
              <a:ext cx="217" cy="3"/>
            </a:xfrm>
            <a:custGeom>
              <a:pathLst>
                <a:path h="1" w="224">
                  <a:moveTo>
                    <a:pt x="0" y="0"/>
                  </a:moveTo>
                  <a:lnTo>
                    <a:pt x="208" y="0"/>
                  </a:lnTo>
                  <a:lnTo>
                    <a:pt x="216" y="0"/>
                  </a:lnTo>
                  <a:lnTo>
                    <a:pt x="22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308"/>
            <xdr:cNvSpPr>
              <a:spLocks/>
            </xdr:cNvSpPr>
          </xdr:nvSpPr>
          <xdr:spPr>
            <a:xfrm>
              <a:off x="668" y="206"/>
              <a:ext cx="217" cy="1"/>
            </a:xfrm>
            <a:custGeom>
              <a:pathLst>
                <a:path h="1" w="217">
                  <a:moveTo>
                    <a:pt x="0" y="0"/>
                  </a:moveTo>
                  <a:lnTo>
                    <a:pt x="217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309"/>
            <xdr:cNvSpPr>
              <a:spLocks/>
            </xdr:cNvSpPr>
          </xdr:nvSpPr>
          <xdr:spPr>
            <a:xfrm>
              <a:off x="669" y="304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310"/>
            <xdr:cNvSpPr>
              <a:spLocks/>
            </xdr:cNvSpPr>
          </xdr:nvSpPr>
          <xdr:spPr>
            <a:xfrm>
              <a:off x="669" y="315"/>
              <a:ext cx="2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311"/>
            <xdr:cNvSpPr>
              <a:spLocks/>
            </xdr:cNvSpPr>
          </xdr:nvSpPr>
          <xdr:spPr>
            <a:xfrm>
              <a:off x="719" y="304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Polygon 312"/>
            <xdr:cNvSpPr>
              <a:spLocks/>
            </xdr:cNvSpPr>
          </xdr:nvSpPr>
          <xdr:spPr>
            <a:xfrm>
              <a:off x="773" y="304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313"/>
            <xdr:cNvSpPr>
              <a:spLocks/>
            </xdr:cNvSpPr>
          </xdr:nvSpPr>
          <xdr:spPr>
            <a:xfrm>
              <a:off x="828" y="304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314"/>
            <xdr:cNvSpPr>
              <a:spLocks/>
            </xdr:cNvSpPr>
          </xdr:nvSpPr>
          <xdr:spPr>
            <a:xfrm>
              <a:off x="739" y="217"/>
              <a:ext cx="37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315"/>
            <xdr:cNvSpPr>
              <a:spLocks/>
            </xdr:cNvSpPr>
          </xdr:nvSpPr>
          <xdr:spPr>
            <a:xfrm>
              <a:off x="668" y="304"/>
              <a:ext cx="2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16"/>
            <xdr:cNvSpPr>
              <a:spLocks/>
            </xdr:cNvSpPr>
          </xdr:nvSpPr>
          <xdr:spPr>
            <a:xfrm>
              <a:off x="745" y="217"/>
              <a:ext cx="37" cy="8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17"/>
            <xdr:cNvSpPr>
              <a:spLocks/>
            </xdr:cNvSpPr>
          </xdr:nvSpPr>
          <xdr:spPr>
            <a:xfrm flipH="1">
              <a:off x="669" y="217"/>
              <a:ext cx="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318"/>
            <xdr:cNvSpPr>
              <a:spLocks/>
            </xdr:cNvSpPr>
          </xdr:nvSpPr>
          <xdr:spPr>
            <a:xfrm>
              <a:off x="879" y="217"/>
              <a:ext cx="3" cy="91"/>
            </a:xfrm>
            <a:custGeom>
              <a:pathLst>
                <a:path h="92" w="1">
                  <a:moveTo>
                    <a:pt x="0" y="0"/>
                  </a:moveTo>
                  <a:lnTo>
                    <a:pt x="0" y="9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Polygon 319"/>
            <xdr:cNvSpPr>
              <a:spLocks/>
            </xdr:cNvSpPr>
          </xdr:nvSpPr>
          <xdr:spPr>
            <a:xfrm>
              <a:off x="868" y="304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320"/>
            <xdr:cNvSpPr>
              <a:spLocks/>
            </xdr:cNvSpPr>
          </xdr:nvSpPr>
          <xdr:spPr>
            <a:xfrm>
              <a:off x="667" y="386"/>
              <a:ext cx="210" cy="1"/>
            </a:xfrm>
            <a:custGeom>
              <a:pathLst>
                <a:path h="1" w="210">
                  <a:moveTo>
                    <a:pt x="0" y="0"/>
                  </a:moveTo>
                  <a:lnTo>
                    <a:pt x="21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21"/>
            <xdr:cNvSpPr>
              <a:spLocks/>
            </xdr:cNvSpPr>
          </xdr:nvSpPr>
          <xdr:spPr>
            <a:xfrm>
              <a:off x="665" y="343"/>
              <a:ext cx="213" cy="1"/>
            </a:xfrm>
            <a:custGeom>
              <a:pathLst>
                <a:path h="1" w="213">
                  <a:moveTo>
                    <a:pt x="0" y="0"/>
                  </a:moveTo>
                  <a:lnTo>
                    <a:pt x="213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22"/>
            <xdr:cNvSpPr>
              <a:spLocks/>
            </xdr:cNvSpPr>
          </xdr:nvSpPr>
          <xdr:spPr>
            <a:xfrm>
              <a:off x="666" y="331"/>
              <a:ext cx="2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3"/>
            <xdr:cNvSpPr>
              <a:spLocks/>
            </xdr:cNvSpPr>
          </xdr:nvSpPr>
          <xdr:spPr>
            <a:xfrm flipV="1">
              <a:off x="679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24"/>
            <xdr:cNvSpPr>
              <a:spLocks/>
            </xdr:cNvSpPr>
          </xdr:nvSpPr>
          <xdr:spPr>
            <a:xfrm flipV="1">
              <a:off x="668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25"/>
            <xdr:cNvSpPr>
              <a:spLocks/>
            </xdr:cNvSpPr>
          </xdr:nvSpPr>
          <xdr:spPr>
            <a:xfrm flipV="1">
              <a:off x="782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26"/>
            <xdr:cNvSpPr>
              <a:spLocks/>
            </xdr:cNvSpPr>
          </xdr:nvSpPr>
          <xdr:spPr>
            <a:xfrm flipV="1">
              <a:off x="771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27"/>
            <xdr:cNvSpPr>
              <a:spLocks/>
            </xdr:cNvSpPr>
          </xdr:nvSpPr>
          <xdr:spPr>
            <a:xfrm flipV="1">
              <a:off x="837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28"/>
            <xdr:cNvSpPr>
              <a:spLocks/>
            </xdr:cNvSpPr>
          </xdr:nvSpPr>
          <xdr:spPr>
            <a:xfrm flipV="1">
              <a:off x="826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9"/>
            <xdr:cNvSpPr>
              <a:spLocks/>
            </xdr:cNvSpPr>
          </xdr:nvSpPr>
          <xdr:spPr>
            <a:xfrm flipV="1">
              <a:off x="728" y="342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0"/>
            <xdr:cNvSpPr>
              <a:spLocks/>
            </xdr:cNvSpPr>
          </xdr:nvSpPr>
          <xdr:spPr>
            <a:xfrm flipV="1">
              <a:off x="717" y="343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31"/>
            <xdr:cNvSpPr>
              <a:spLocks/>
            </xdr:cNvSpPr>
          </xdr:nvSpPr>
          <xdr:spPr>
            <a:xfrm flipV="1">
              <a:off x="877" y="34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32"/>
            <xdr:cNvSpPr>
              <a:spLocks/>
            </xdr:cNvSpPr>
          </xdr:nvSpPr>
          <xdr:spPr>
            <a:xfrm flipV="1">
              <a:off x="866" y="34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333"/>
            <xdr:cNvSpPr>
              <a:spLocks/>
            </xdr:cNvSpPr>
          </xdr:nvSpPr>
          <xdr:spPr>
            <a:xfrm>
              <a:off x="660" y="332"/>
              <a:ext cx="229" cy="10"/>
            </a:xfrm>
            <a:custGeom>
              <a:pathLst>
                <a:path h="33" w="722">
                  <a:moveTo>
                    <a:pt x="16" y="11"/>
                  </a:moveTo>
                  <a:lnTo>
                    <a:pt x="100" y="1"/>
                  </a:lnTo>
                  <a:lnTo>
                    <a:pt x="198" y="17"/>
                  </a:lnTo>
                  <a:lnTo>
                    <a:pt x="264" y="7"/>
                  </a:lnTo>
                  <a:lnTo>
                    <a:pt x="368" y="5"/>
                  </a:lnTo>
                  <a:lnTo>
                    <a:pt x="469" y="18"/>
                  </a:lnTo>
                  <a:lnTo>
                    <a:pt x="537" y="0"/>
                  </a:lnTo>
                  <a:lnTo>
                    <a:pt x="645" y="16"/>
                  </a:lnTo>
                  <a:lnTo>
                    <a:pt x="705" y="10"/>
                  </a:lnTo>
                  <a:lnTo>
                    <a:pt x="722" y="26"/>
                  </a:lnTo>
                  <a:lnTo>
                    <a:pt x="655" y="30"/>
                  </a:lnTo>
                  <a:lnTo>
                    <a:pt x="583" y="23"/>
                  </a:lnTo>
                  <a:lnTo>
                    <a:pt x="455" y="33"/>
                  </a:lnTo>
                  <a:lnTo>
                    <a:pt x="349" y="23"/>
                  </a:lnTo>
                  <a:lnTo>
                    <a:pt x="255" y="22"/>
                  </a:lnTo>
                  <a:lnTo>
                    <a:pt x="121" y="33"/>
                  </a:lnTo>
                  <a:lnTo>
                    <a:pt x="57" y="23"/>
                  </a:lnTo>
                  <a:lnTo>
                    <a:pt x="0" y="30"/>
                  </a:lnTo>
                  <a:lnTo>
                    <a:pt x="16" y="1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334"/>
          <xdr:cNvSpPr>
            <a:spLocks/>
          </xdr:cNvSpPr>
        </xdr:nvSpPr>
        <xdr:spPr>
          <a:xfrm>
            <a:off x="647" y="218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35"/>
          <xdr:cNvSpPr>
            <a:spLocks/>
          </xdr:cNvSpPr>
        </xdr:nvSpPr>
        <xdr:spPr>
          <a:xfrm>
            <a:off x="649" y="246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ver</a:t>
            </a:r>
          </a:p>
        </xdr:txBody>
      </xdr:sp>
      <xdr:sp>
        <xdr:nvSpPr>
          <xdr:cNvPr id="38" name="AutoShape 336"/>
          <xdr:cNvSpPr>
            <a:spLocks/>
          </xdr:cNvSpPr>
        </xdr:nvSpPr>
        <xdr:spPr>
          <a:xfrm>
            <a:off x="615" y="284"/>
            <a:ext cx="5" cy="21"/>
          </a:xfrm>
          <a:custGeom>
            <a:pathLst>
              <a:path h="12" w="7">
                <a:moveTo>
                  <a:pt x="0" y="0"/>
                </a:moveTo>
                <a:cubicBezTo>
                  <a:pt x="1" y="1"/>
                  <a:pt x="5" y="3"/>
                  <a:pt x="6" y="5"/>
                </a:cubicBezTo>
                <a:cubicBezTo>
                  <a:pt x="7" y="7"/>
                  <a:pt x="6" y="11"/>
                  <a:pt x="6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37"/>
          <xdr:cNvSpPr>
            <a:spLocks/>
          </xdr:cNvSpPr>
        </xdr:nvSpPr>
        <xdr:spPr>
          <a:xfrm>
            <a:off x="620" y="278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P°</a:t>
            </a:r>
          </a:p>
        </xdr:txBody>
      </xdr:sp>
      <xdr:sp>
        <xdr:nvSpPr>
          <xdr:cNvPr id="40" name="Line 338"/>
          <xdr:cNvSpPr>
            <a:spLocks/>
          </xdr:cNvSpPr>
        </xdr:nvSpPr>
        <xdr:spPr>
          <a:xfrm>
            <a:off x="676" y="397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9"/>
          <xdr:cNvSpPr>
            <a:spLocks/>
          </xdr:cNvSpPr>
        </xdr:nvSpPr>
        <xdr:spPr>
          <a:xfrm>
            <a:off x="613" y="306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40"/>
          <xdr:cNvSpPr>
            <a:spLocks/>
          </xdr:cNvSpPr>
        </xdr:nvSpPr>
        <xdr:spPr>
          <a:xfrm>
            <a:off x="640" y="21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68</xdr:row>
      <xdr:rowOff>180975</xdr:rowOff>
    </xdr:from>
    <xdr:to>
      <xdr:col>0</xdr:col>
      <xdr:colOff>409575</xdr:colOff>
      <xdr:row>82</xdr:row>
      <xdr:rowOff>28575</xdr:rowOff>
    </xdr:to>
    <xdr:sp>
      <xdr:nvSpPr>
        <xdr:cNvPr id="1" name="Rectangle 178"/>
        <xdr:cNvSpPr>
          <a:spLocks/>
        </xdr:cNvSpPr>
      </xdr:nvSpPr>
      <xdr:spPr>
        <a:xfrm>
          <a:off x="257175" y="12906375"/>
          <a:ext cx="1524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42</xdr:row>
      <xdr:rowOff>0</xdr:rowOff>
    </xdr:from>
    <xdr:to>
      <xdr:col>2</xdr:col>
      <xdr:colOff>238125</xdr:colOff>
      <xdr:row>55</xdr:row>
      <xdr:rowOff>19050</xdr:rowOff>
    </xdr:to>
    <xdr:sp>
      <xdr:nvSpPr>
        <xdr:cNvPr id="2" name="Polygon 150"/>
        <xdr:cNvSpPr>
          <a:spLocks/>
        </xdr:cNvSpPr>
      </xdr:nvSpPr>
      <xdr:spPr>
        <a:xfrm>
          <a:off x="866775" y="8086725"/>
          <a:ext cx="1076325" cy="2257425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pattFill prst="wdDnDiag">
          <a:fgClr>
            <a:srgbClr val="FF0000"/>
          </a:fgClr>
          <a:bgClr>
            <a:srgbClr val="FFFFFF"/>
          </a:bgClr>
        </a:pattFill>
        <a:ln w="1905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52</xdr:row>
      <xdr:rowOff>85725</xdr:rowOff>
    </xdr:from>
    <xdr:to>
      <xdr:col>1</xdr:col>
      <xdr:colOff>285750</xdr:colOff>
      <xdr:row>53</xdr:row>
      <xdr:rowOff>28575</xdr:rowOff>
    </xdr:to>
    <xdr:sp>
      <xdr:nvSpPr>
        <xdr:cNvPr id="3" name="Polygon 156"/>
        <xdr:cNvSpPr>
          <a:spLocks/>
        </xdr:cNvSpPr>
      </xdr:nvSpPr>
      <xdr:spPr>
        <a:xfrm>
          <a:off x="647700" y="9820275"/>
          <a:ext cx="400050" cy="114300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95250</xdr:rowOff>
    </xdr:from>
    <xdr:to>
      <xdr:col>1</xdr:col>
      <xdr:colOff>466725</xdr:colOff>
      <xdr:row>50</xdr:row>
      <xdr:rowOff>38100</xdr:rowOff>
    </xdr:to>
    <xdr:sp>
      <xdr:nvSpPr>
        <xdr:cNvPr id="4" name="Polygon 157"/>
        <xdr:cNvSpPr>
          <a:spLocks/>
        </xdr:cNvSpPr>
      </xdr:nvSpPr>
      <xdr:spPr>
        <a:xfrm>
          <a:off x="866775" y="9344025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114300</xdr:rowOff>
    </xdr:from>
    <xdr:to>
      <xdr:col>1</xdr:col>
      <xdr:colOff>695325</xdr:colOff>
      <xdr:row>47</xdr:row>
      <xdr:rowOff>57150</xdr:rowOff>
    </xdr:to>
    <xdr:sp>
      <xdr:nvSpPr>
        <xdr:cNvPr id="5" name="Polygon 158"/>
        <xdr:cNvSpPr>
          <a:spLocks/>
        </xdr:cNvSpPr>
      </xdr:nvSpPr>
      <xdr:spPr>
        <a:xfrm>
          <a:off x="1085850" y="8877300"/>
          <a:ext cx="371475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44</xdr:row>
      <xdr:rowOff>28575</xdr:rowOff>
    </xdr:from>
    <xdr:to>
      <xdr:col>1</xdr:col>
      <xdr:colOff>866775</xdr:colOff>
      <xdr:row>44</xdr:row>
      <xdr:rowOff>133350</xdr:rowOff>
    </xdr:to>
    <xdr:sp>
      <xdr:nvSpPr>
        <xdr:cNvPr id="6" name="Polygon 159"/>
        <xdr:cNvSpPr>
          <a:spLocks/>
        </xdr:cNvSpPr>
      </xdr:nvSpPr>
      <xdr:spPr>
        <a:xfrm>
          <a:off x="1266825" y="8439150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123825</xdr:rowOff>
    </xdr:from>
    <xdr:to>
      <xdr:col>2</xdr:col>
      <xdr:colOff>695325</xdr:colOff>
      <xdr:row>26</xdr:row>
      <xdr:rowOff>38100</xdr:rowOff>
    </xdr:to>
    <xdr:grpSp>
      <xdr:nvGrpSpPr>
        <xdr:cNvPr id="7" name="Group 217"/>
        <xdr:cNvGrpSpPr>
          <a:grpSpLocks/>
        </xdr:cNvGrpSpPr>
      </xdr:nvGrpSpPr>
      <xdr:grpSpPr>
        <a:xfrm>
          <a:off x="66675" y="4486275"/>
          <a:ext cx="2333625" cy="561975"/>
          <a:chOff x="7" y="388"/>
          <a:chExt cx="242" cy="59"/>
        </a:xfrm>
        <a:solidFill>
          <a:srgbClr val="FFFFFF"/>
        </a:solidFill>
      </xdr:grpSpPr>
      <xdr:grpSp>
        <xdr:nvGrpSpPr>
          <xdr:cNvPr id="8" name="Group 208"/>
          <xdr:cNvGrpSpPr>
            <a:grpSpLocks/>
          </xdr:cNvGrpSpPr>
        </xdr:nvGrpSpPr>
        <xdr:grpSpPr>
          <a:xfrm>
            <a:off x="7" y="388"/>
            <a:ext cx="242" cy="59"/>
            <a:chOff x="7" y="388"/>
            <a:chExt cx="242" cy="59"/>
          </a:xfrm>
          <a:solidFill>
            <a:srgbClr val="FFFFFF"/>
          </a:solidFill>
        </xdr:grpSpPr>
        <xdr:sp>
          <xdr:nvSpPr>
            <xdr:cNvPr id="9" name="Polygon 69"/>
            <xdr:cNvSpPr>
              <a:spLocks/>
            </xdr:cNvSpPr>
          </xdr:nvSpPr>
          <xdr:spPr>
            <a:xfrm>
              <a:off x="8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0"/>
            <xdr:cNvSpPr>
              <a:spLocks/>
            </xdr:cNvSpPr>
          </xdr:nvSpPr>
          <xdr:spPr>
            <a:xfrm>
              <a:off x="8" y="446"/>
              <a:ext cx="24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71"/>
            <xdr:cNvSpPr>
              <a:spLocks/>
            </xdr:cNvSpPr>
          </xdr:nvSpPr>
          <xdr:spPr>
            <a:xfrm>
              <a:off x="65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Polygon 72"/>
            <xdr:cNvSpPr>
              <a:spLocks/>
            </xdr:cNvSpPr>
          </xdr:nvSpPr>
          <xdr:spPr>
            <a:xfrm>
              <a:off x="121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73"/>
            <xdr:cNvSpPr>
              <a:spLocks/>
            </xdr:cNvSpPr>
          </xdr:nvSpPr>
          <xdr:spPr>
            <a:xfrm>
              <a:off x="177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74"/>
            <xdr:cNvSpPr>
              <a:spLocks/>
            </xdr:cNvSpPr>
          </xdr:nvSpPr>
          <xdr:spPr>
            <a:xfrm>
              <a:off x="7" y="433"/>
              <a:ext cx="24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75"/>
            <xdr:cNvSpPr>
              <a:spLocks/>
            </xdr:cNvSpPr>
          </xdr:nvSpPr>
          <xdr:spPr>
            <a:xfrm>
              <a:off x="234" y="434"/>
              <a:ext cx="12" cy="12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76"/>
            <xdr:cNvSpPr>
              <a:spLocks/>
            </xdr:cNvSpPr>
          </xdr:nvSpPr>
          <xdr:spPr>
            <a:xfrm>
              <a:off x="7" y="388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77"/>
            <xdr:cNvSpPr>
              <a:spLocks/>
            </xdr:cNvSpPr>
          </xdr:nvSpPr>
          <xdr:spPr>
            <a:xfrm flipH="1" flipV="1">
              <a:off x="245" y="390"/>
              <a:ext cx="0" cy="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78"/>
            <xdr:cNvSpPr>
              <a:spLocks/>
            </xdr:cNvSpPr>
          </xdr:nvSpPr>
          <xdr:spPr>
            <a:xfrm>
              <a:off x="20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79"/>
            <xdr:cNvSpPr>
              <a:spLocks/>
            </xdr:cNvSpPr>
          </xdr:nvSpPr>
          <xdr:spPr>
            <a:xfrm>
              <a:off x="77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80"/>
            <xdr:cNvSpPr>
              <a:spLocks/>
            </xdr:cNvSpPr>
          </xdr:nvSpPr>
          <xdr:spPr>
            <a:xfrm>
              <a:off x="134" y="431"/>
              <a:ext cx="43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1"/>
            <xdr:cNvSpPr>
              <a:spLocks/>
            </xdr:cNvSpPr>
          </xdr:nvSpPr>
          <xdr:spPr>
            <a:xfrm>
              <a:off x="189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Line 82"/>
          <xdr:cNvSpPr>
            <a:spLocks/>
          </xdr:cNvSpPr>
        </xdr:nvSpPr>
        <xdr:spPr>
          <a:xfrm>
            <a:off x="72" y="416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83"/>
          <xdr:cNvSpPr>
            <a:spLocks/>
          </xdr:cNvSpPr>
        </xdr:nvSpPr>
        <xdr:spPr>
          <a:xfrm>
            <a:off x="72" y="412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4"/>
          <xdr:cNvSpPr>
            <a:spLocks/>
          </xdr:cNvSpPr>
        </xdr:nvSpPr>
        <xdr:spPr>
          <a:xfrm flipV="1">
            <a:off x="128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5"/>
          <xdr:cNvSpPr>
            <a:spLocks/>
          </xdr:cNvSpPr>
        </xdr:nvSpPr>
        <xdr:spPr>
          <a:xfrm>
            <a:off x="64" y="392"/>
            <a:ext cx="7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  <xdr:twoCellAnchor>
    <xdr:from>
      <xdr:col>3</xdr:col>
      <xdr:colOff>114300</xdr:colOff>
      <xdr:row>23</xdr:row>
      <xdr:rowOff>9525</xdr:rowOff>
    </xdr:from>
    <xdr:to>
      <xdr:col>5</xdr:col>
      <xdr:colOff>666750</xdr:colOff>
      <xdr:row>26</xdr:row>
      <xdr:rowOff>57150</xdr:rowOff>
    </xdr:to>
    <xdr:grpSp>
      <xdr:nvGrpSpPr>
        <xdr:cNvPr id="26" name="Group 221"/>
        <xdr:cNvGrpSpPr>
          <a:grpSpLocks/>
        </xdr:cNvGrpSpPr>
      </xdr:nvGrpSpPr>
      <xdr:grpSpPr>
        <a:xfrm>
          <a:off x="2714625" y="4533900"/>
          <a:ext cx="2495550" cy="533400"/>
          <a:chOff x="285" y="393"/>
          <a:chExt cx="262" cy="56"/>
        </a:xfrm>
        <a:solidFill>
          <a:srgbClr val="FFFFFF"/>
        </a:solidFill>
      </xdr:grpSpPr>
      <xdr:grpSp>
        <xdr:nvGrpSpPr>
          <xdr:cNvPr id="27" name="Group 220"/>
          <xdr:cNvGrpSpPr>
            <a:grpSpLocks/>
          </xdr:cNvGrpSpPr>
        </xdr:nvGrpSpPr>
        <xdr:grpSpPr>
          <a:xfrm>
            <a:off x="285" y="409"/>
            <a:ext cx="262" cy="40"/>
            <a:chOff x="285" y="409"/>
            <a:chExt cx="262" cy="40"/>
          </a:xfrm>
          <a:solidFill>
            <a:srgbClr val="FFFFFF"/>
          </a:solidFill>
        </xdr:grpSpPr>
        <xdr:sp>
          <xdr:nvSpPr>
            <xdr:cNvPr id="28" name="Line 88"/>
            <xdr:cNvSpPr>
              <a:spLocks/>
            </xdr:cNvSpPr>
          </xdr:nvSpPr>
          <xdr:spPr>
            <a:xfrm flipV="1">
              <a:off x="286" y="447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Polygon 89"/>
            <xdr:cNvSpPr>
              <a:spLocks/>
            </xdr:cNvSpPr>
          </xdr:nvSpPr>
          <xdr:spPr>
            <a:xfrm>
              <a:off x="324" y="436"/>
              <a:ext cx="19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Polygon 90"/>
            <xdr:cNvSpPr>
              <a:spLocks/>
            </xdr:cNvSpPr>
          </xdr:nvSpPr>
          <xdr:spPr>
            <a:xfrm>
              <a:off x="410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Polygon 91"/>
            <xdr:cNvSpPr>
              <a:spLocks/>
            </xdr:cNvSpPr>
          </xdr:nvSpPr>
          <xdr:spPr>
            <a:xfrm>
              <a:off x="496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92"/>
            <xdr:cNvSpPr>
              <a:spLocks/>
            </xdr:cNvSpPr>
          </xdr:nvSpPr>
          <xdr:spPr>
            <a:xfrm>
              <a:off x="285" y="435"/>
              <a:ext cx="2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93"/>
            <xdr:cNvSpPr>
              <a:spLocks/>
            </xdr:cNvSpPr>
          </xdr:nvSpPr>
          <xdr:spPr>
            <a:xfrm flipH="1" flipV="1">
              <a:off x="287" y="411"/>
              <a:ext cx="1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94"/>
            <xdr:cNvSpPr>
              <a:spLocks/>
            </xdr:cNvSpPr>
          </xdr:nvSpPr>
          <xdr:spPr>
            <a:xfrm>
              <a:off x="545" y="409"/>
              <a:ext cx="1" cy="25"/>
            </a:xfrm>
            <a:custGeom>
              <a:pathLst>
                <a:path h="25" w="1">
                  <a:moveTo>
                    <a:pt x="0" y="25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95"/>
            <xdr:cNvSpPr>
              <a:spLocks/>
            </xdr:cNvSpPr>
          </xdr:nvSpPr>
          <xdr:spPr>
            <a:xfrm>
              <a:off x="342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96"/>
            <xdr:cNvSpPr>
              <a:spLocks/>
            </xdr:cNvSpPr>
          </xdr:nvSpPr>
          <xdr:spPr>
            <a:xfrm>
              <a:off x="429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97"/>
            <xdr:cNvSpPr>
              <a:spLocks/>
            </xdr:cNvSpPr>
          </xdr:nvSpPr>
          <xdr:spPr>
            <a:xfrm>
              <a:off x="288" y="433"/>
              <a:ext cx="37" cy="16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98"/>
            <xdr:cNvSpPr>
              <a:spLocks/>
            </xdr:cNvSpPr>
          </xdr:nvSpPr>
          <xdr:spPr>
            <a:xfrm flipH="1">
              <a:off x="515" y="432"/>
              <a:ext cx="31" cy="17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" name="AutoShape 99"/>
          <xdr:cNvSpPr>
            <a:spLocks/>
          </xdr:cNvSpPr>
        </xdr:nvSpPr>
        <xdr:spPr>
          <a:xfrm>
            <a:off x="328" y="417"/>
            <a:ext cx="93" cy="1"/>
          </a:xfrm>
          <a:custGeom>
            <a:pathLst>
              <a:path h="1" w="93">
                <a:moveTo>
                  <a:pt x="0" y="0"/>
                </a:moveTo>
                <a:lnTo>
                  <a:pt x="12" y="0"/>
                </a:lnTo>
                <a:lnTo>
                  <a:pt x="9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00"/>
          <xdr:cNvSpPr>
            <a:spLocks/>
          </xdr:cNvSpPr>
        </xdr:nvSpPr>
        <xdr:spPr>
          <a:xfrm>
            <a:off x="326" y="414"/>
            <a:ext cx="1" cy="21"/>
          </a:xfrm>
          <a:custGeom>
            <a:pathLst>
              <a:path h="21" w="1">
                <a:moveTo>
                  <a:pt x="0" y="2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01"/>
          <xdr:cNvSpPr>
            <a:spLocks/>
          </xdr:cNvSpPr>
        </xdr:nvSpPr>
        <xdr:spPr>
          <a:xfrm>
            <a:off x="421" y="412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02"/>
          <xdr:cNvSpPr>
            <a:spLocks/>
          </xdr:cNvSpPr>
        </xdr:nvSpPr>
        <xdr:spPr>
          <a:xfrm>
            <a:off x="340" y="393"/>
            <a:ext cx="9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  <xdr:twoCellAnchor>
    <xdr:from>
      <xdr:col>6</xdr:col>
      <xdr:colOff>85725</xdr:colOff>
      <xdr:row>22</xdr:row>
      <xdr:rowOff>76200</xdr:rowOff>
    </xdr:from>
    <xdr:to>
      <xdr:col>8</xdr:col>
      <xdr:colOff>666750</xdr:colOff>
      <xdr:row>26</xdr:row>
      <xdr:rowOff>66675</xdr:rowOff>
    </xdr:to>
    <xdr:grpSp>
      <xdr:nvGrpSpPr>
        <xdr:cNvPr id="43" name="Group 216"/>
        <xdr:cNvGrpSpPr>
          <a:grpSpLocks/>
        </xdr:cNvGrpSpPr>
      </xdr:nvGrpSpPr>
      <xdr:grpSpPr>
        <a:xfrm>
          <a:off x="5638800" y="4438650"/>
          <a:ext cx="2333625" cy="638175"/>
          <a:chOff x="589" y="383"/>
          <a:chExt cx="245" cy="67"/>
        </a:xfrm>
        <a:solidFill>
          <a:srgbClr val="FFFFFF"/>
        </a:solidFill>
      </xdr:grpSpPr>
      <xdr:sp>
        <xdr:nvSpPr>
          <xdr:cNvPr id="44" name="Polygon 104"/>
          <xdr:cNvSpPr>
            <a:spLocks/>
          </xdr:cNvSpPr>
        </xdr:nvSpPr>
        <xdr:spPr>
          <a:xfrm>
            <a:off x="590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5"/>
          <xdr:cNvSpPr>
            <a:spLocks/>
          </xdr:cNvSpPr>
        </xdr:nvSpPr>
        <xdr:spPr>
          <a:xfrm>
            <a:off x="590" y="449"/>
            <a:ext cx="2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Polygon 106"/>
          <xdr:cNvSpPr>
            <a:spLocks/>
          </xdr:cNvSpPr>
        </xdr:nvSpPr>
        <xdr:spPr>
          <a:xfrm>
            <a:off x="658" y="436"/>
            <a:ext cx="16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Polygon 107"/>
          <xdr:cNvSpPr>
            <a:spLocks/>
          </xdr:cNvSpPr>
        </xdr:nvSpPr>
        <xdr:spPr>
          <a:xfrm>
            <a:off x="725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Polygon 108"/>
          <xdr:cNvSpPr>
            <a:spLocks/>
          </xdr:cNvSpPr>
        </xdr:nvSpPr>
        <xdr:spPr>
          <a:xfrm>
            <a:off x="793" y="436"/>
            <a:ext cx="14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09"/>
          <xdr:cNvSpPr>
            <a:spLocks/>
          </xdr:cNvSpPr>
        </xdr:nvSpPr>
        <xdr:spPr>
          <a:xfrm>
            <a:off x="589" y="435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10"/>
          <xdr:cNvSpPr>
            <a:spLocks/>
          </xdr:cNvSpPr>
        </xdr:nvSpPr>
        <xdr:spPr>
          <a:xfrm>
            <a:off x="589" y="383"/>
            <a:ext cx="1" cy="55"/>
          </a:xfrm>
          <a:custGeom>
            <a:pathLst>
              <a:path h="55" w="1">
                <a:moveTo>
                  <a:pt x="0" y="5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111"/>
          <xdr:cNvSpPr>
            <a:spLocks/>
          </xdr:cNvSpPr>
        </xdr:nvSpPr>
        <xdr:spPr>
          <a:xfrm>
            <a:off x="833" y="391"/>
            <a:ext cx="1" cy="47"/>
          </a:xfrm>
          <a:custGeom>
            <a:pathLst>
              <a:path h="47" w="1">
                <a:moveTo>
                  <a:pt x="0" y="47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112"/>
          <xdr:cNvSpPr>
            <a:spLocks/>
          </xdr:cNvSpPr>
        </xdr:nvSpPr>
        <xdr:spPr>
          <a:xfrm>
            <a:off x="604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13"/>
          <xdr:cNvSpPr>
            <a:spLocks/>
          </xdr:cNvSpPr>
        </xdr:nvSpPr>
        <xdr:spPr>
          <a:xfrm>
            <a:off x="673" y="432"/>
            <a:ext cx="51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14"/>
          <xdr:cNvSpPr>
            <a:spLocks/>
          </xdr:cNvSpPr>
        </xdr:nvSpPr>
        <xdr:spPr>
          <a:xfrm>
            <a:off x="740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15"/>
          <xdr:cNvSpPr>
            <a:spLocks/>
          </xdr:cNvSpPr>
        </xdr:nvSpPr>
        <xdr:spPr>
          <a:xfrm flipH="1">
            <a:off x="808" y="432"/>
            <a:ext cx="25" cy="17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6"/>
          <xdr:cNvSpPr>
            <a:spLocks/>
          </xdr:cNvSpPr>
        </xdr:nvSpPr>
        <xdr:spPr>
          <a:xfrm>
            <a:off x="733" y="4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17"/>
          <xdr:cNvSpPr>
            <a:spLocks/>
          </xdr:cNvSpPr>
        </xdr:nvSpPr>
        <xdr:spPr>
          <a:xfrm>
            <a:off x="734" y="412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18"/>
          <xdr:cNvSpPr>
            <a:spLocks/>
          </xdr:cNvSpPr>
        </xdr:nvSpPr>
        <xdr:spPr>
          <a:xfrm flipV="1">
            <a:off x="799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119"/>
          <xdr:cNvSpPr>
            <a:spLocks/>
          </xdr:cNvSpPr>
        </xdr:nvSpPr>
        <xdr:spPr>
          <a:xfrm>
            <a:off x="724" y="39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Espacement</a:t>
            </a:r>
          </a:p>
        </xdr:txBody>
      </xdr:sp>
    </xdr:grpSp>
    <xdr:clientData/>
  </xdr:twoCellAnchor>
  <xdr:twoCellAnchor>
    <xdr:from>
      <xdr:col>0</xdr:col>
      <xdr:colOff>390525</xdr:colOff>
      <xdr:row>42</xdr:row>
      <xdr:rowOff>0</xdr:rowOff>
    </xdr:from>
    <xdr:to>
      <xdr:col>1</xdr:col>
      <xdr:colOff>723900</xdr:colOff>
      <xdr:row>55</xdr:row>
      <xdr:rowOff>19050</xdr:rowOff>
    </xdr:to>
    <xdr:sp>
      <xdr:nvSpPr>
        <xdr:cNvPr id="60" name="Polygon 149"/>
        <xdr:cNvSpPr>
          <a:spLocks/>
        </xdr:cNvSpPr>
      </xdr:nvSpPr>
      <xdr:spPr>
        <a:xfrm>
          <a:off x="390525" y="8086725"/>
          <a:ext cx="1095375" cy="2257425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55</xdr:row>
      <xdr:rowOff>9525</xdr:rowOff>
    </xdr:from>
    <xdr:to>
      <xdr:col>1</xdr:col>
      <xdr:colOff>257175</xdr:colOff>
      <xdr:row>56</xdr:row>
      <xdr:rowOff>9525</xdr:rowOff>
    </xdr:to>
    <xdr:sp>
      <xdr:nvSpPr>
        <xdr:cNvPr id="61" name="Polygon 152"/>
        <xdr:cNvSpPr>
          <a:spLocks/>
        </xdr:cNvSpPr>
      </xdr:nvSpPr>
      <xdr:spPr>
        <a:xfrm>
          <a:off x="200025" y="10334625"/>
          <a:ext cx="819150" cy="200025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55</xdr:row>
      <xdr:rowOff>9525</xdr:rowOff>
    </xdr:from>
    <xdr:to>
      <xdr:col>0</xdr:col>
      <xdr:colOff>400050</xdr:colOff>
      <xdr:row>56</xdr:row>
      <xdr:rowOff>9525</xdr:rowOff>
    </xdr:to>
    <xdr:sp>
      <xdr:nvSpPr>
        <xdr:cNvPr id="62" name="Polygon 153"/>
        <xdr:cNvSpPr>
          <a:spLocks/>
        </xdr:cNvSpPr>
      </xdr:nvSpPr>
      <xdr:spPr>
        <a:xfrm>
          <a:off x="200025" y="10334625"/>
          <a:ext cx="200025" cy="200025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9525</xdr:rowOff>
    </xdr:from>
    <xdr:to>
      <xdr:col>1</xdr:col>
      <xdr:colOff>247650</xdr:colOff>
      <xdr:row>56</xdr:row>
      <xdr:rowOff>9525</xdr:rowOff>
    </xdr:to>
    <xdr:sp>
      <xdr:nvSpPr>
        <xdr:cNvPr id="63" name="Polygon 154"/>
        <xdr:cNvSpPr>
          <a:spLocks/>
        </xdr:cNvSpPr>
      </xdr:nvSpPr>
      <xdr:spPr>
        <a:xfrm>
          <a:off x="809625" y="10334625"/>
          <a:ext cx="200025" cy="200025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9525</xdr:rowOff>
    </xdr:from>
    <xdr:to>
      <xdr:col>2</xdr:col>
      <xdr:colOff>285750</xdr:colOff>
      <xdr:row>42</xdr:row>
      <xdr:rowOff>9525</xdr:rowOff>
    </xdr:to>
    <xdr:sp>
      <xdr:nvSpPr>
        <xdr:cNvPr id="64" name="Polygon 160"/>
        <xdr:cNvSpPr>
          <a:spLocks/>
        </xdr:cNvSpPr>
      </xdr:nvSpPr>
      <xdr:spPr>
        <a:xfrm>
          <a:off x="1143000" y="7905750"/>
          <a:ext cx="847725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9525</xdr:rowOff>
    </xdr:from>
    <xdr:to>
      <xdr:col>1</xdr:col>
      <xdr:colOff>581025</xdr:colOff>
      <xdr:row>42</xdr:row>
      <xdr:rowOff>9525</xdr:rowOff>
    </xdr:to>
    <xdr:sp>
      <xdr:nvSpPr>
        <xdr:cNvPr id="65" name="Polygon 161"/>
        <xdr:cNvSpPr>
          <a:spLocks/>
        </xdr:cNvSpPr>
      </xdr:nvSpPr>
      <xdr:spPr>
        <a:xfrm>
          <a:off x="1143000" y="790575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41</xdr:row>
      <xdr:rowOff>9525</xdr:rowOff>
    </xdr:from>
    <xdr:to>
      <xdr:col>2</xdr:col>
      <xdr:colOff>276225</xdr:colOff>
      <xdr:row>42</xdr:row>
      <xdr:rowOff>9525</xdr:rowOff>
    </xdr:to>
    <xdr:sp>
      <xdr:nvSpPr>
        <xdr:cNvPr id="66" name="Polygon 162"/>
        <xdr:cNvSpPr>
          <a:spLocks/>
        </xdr:cNvSpPr>
      </xdr:nvSpPr>
      <xdr:spPr>
        <a:xfrm>
          <a:off x="1781175" y="790575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82</xdr:row>
      <xdr:rowOff>9525</xdr:rowOff>
    </xdr:from>
    <xdr:to>
      <xdr:col>2</xdr:col>
      <xdr:colOff>771525</xdr:colOff>
      <xdr:row>83</xdr:row>
      <xdr:rowOff>28575</xdr:rowOff>
    </xdr:to>
    <xdr:sp>
      <xdr:nvSpPr>
        <xdr:cNvPr id="67" name="Polygon 172"/>
        <xdr:cNvSpPr>
          <a:spLocks/>
        </xdr:cNvSpPr>
      </xdr:nvSpPr>
      <xdr:spPr>
        <a:xfrm>
          <a:off x="104775" y="15068550"/>
          <a:ext cx="2371725" cy="24765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68</xdr:row>
      <xdr:rowOff>9525</xdr:rowOff>
    </xdr:from>
    <xdr:to>
      <xdr:col>2</xdr:col>
      <xdr:colOff>800100</xdr:colOff>
      <xdr:row>68</xdr:row>
      <xdr:rowOff>161925</xdr:rowOff>
    </xdr:to>
    <xdr:sp>
      <xdr:nvSpPr>
        <xdr:cNvPr id="68" name="Polygon 175"/>
        <xdr:cNvSpPr>
          <a:spLocks/>
        </xdr:cNvSpPr>
      </xdr:nvSpPr>
      <xdr:spPr>
        <a:xfrm>
          <a:off x="38100" y="12734925"/>
          <a:ext cx="2466975" cy="1524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171450</xdr:rowOff>
    </xdr:from>
    <xdr:to>
      <xdr:col>2</xdr:col>
      <xdr:colOff>800100</xdr:colOff>
      <xdr:row>82</xdr:row>
      <xdr:rowOff>9525</xdr:rowOff>
    </xdr:to>
    <xdr:sp>
      <xdr:nvSpPr>
        <xdr:cNvPr id="69" name="Rectangle 180"/>
        <xdr:cNvSpPr>
          <a:spLocks/>
        </xdr:cNvSpPr>
      </xdr:nvSpPr>
      <xdr:spPr>
        <a:xfrm>
          <a:off x="819150" y="12896850"/>
          <a:ext cx="1685925" cy="21717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71</xdr:row>
      <xdr:rowOff>66675</xdr:rowOff>
    </xdr:from>
    <xdr:to>
      <xdr:col>1</xdr:col>
      <xdr:colOff>57150</xdr:colOff>
      <xdr:row>71</xdr:row>
      <xdr:rowOff>161925</xdr:rowOff>
    </xdr:to>
    <xdr:sp>
      <xdr:nvSpPr>
        <xdr:cNvPr id="70" name="Rectangle 183"/>
        <xdr:cNvSpPr>
          <a:spLocks/>
        </xdr:cNvSpPr>
      </xdr:nvSpPr>
      <xdr:spPr>
        <a:xfrm>
          <a:off x="409575" y="13306425"/>
          <a:ext cx="409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74</xdr:row>
      <xdr:rowOff>9525</xdr:rowOff>
    </xdr:from>
    <xdr:to>
      <xdr:col>1</xdr:col>
      <xdr:colOff>66675</xdr:colOff>
      <xdr:row>74</xdr:row>
      <xdr:rowOff>114300</xdr:rowOff>
    </xdr:to>
    <xdr:sp>
      <xdr:nvSpPr>
        <xdr:cNvPr id="71" name="Rectangle 182"/>
        <xdr:cNvSpPr>
          <a:spLocks/>
        </xdr:cNvSpPr>
      </xdr:nvSpPr>
      <xdr:spPr>
        <a:xfrm>
          <a:off x="409575" y="13763625"/>
          <a:ext cx="4191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76</xdr:row>
      <xdr:rowOff>142875</xdr:rowOff>
    </xdr:from>
    <xdr:to>
      <xdr:col>1</xdr:col>
      <xdr:colOff>57150</xdr:colOff>
      <xdr:row>77</xdr:row>
      <xdr:rowOff>85725</xdr:rowOff>
    </xdr:to>
    <xdr:sp>
      <xdr:nvSpPr>
        <xdr:cNvPr id="72" name="Rectangle 181"/>
        <xdr:cNvSpPr>
          <a:spLocks/>
        </xdr:cNvSpPr>
      </xdr:nvSpPr>
      <xdr:spPr>
        <a:xfrm>
          <a:off x="409575" y="14220825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79</xdr:row>
      <xdr:rowOff>104775</xdr:rowOff>
    </xdr:from>
    <xdr:to>
      <xdr:col>1</xdr:col>
      <xdr:colOff>66675</xdr:colOff>
      <xdr:row>80</xdr:row>
      <xdr:rowOff>38100</xdr:rowOff>
    </xdr:to>
    <xdr:sp>
      <xdr:nvSpPr>
        <xdr:cNvPr id="73" name="Rectangle 179"/>
        <xdr:cNvSpPr>
          <a:spLocks/>
        </xdr:cNvSpPr>
      </xdr:nvSpPr>
      <xdr:spPr>
        <a:xfrm>
          <a:off x="409575" y="14668500"/>
          <a:ext cx="419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38100</xdr:rowOff>
    </xdr:from>
    <xdr:to>
      <xdr:col>6</xdr:col>
      <xdr:colOff>47625</xdr:colOff>
      <xdr:row>37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990850"/>
          <a:ext cx="4438650" cy="3048000"/>
          <a:chOff x="19" y="314"/>
          <a:chExt cx="466" cy="32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91" y="476"/>
            <a:ext cx="368" cy="29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05" y="431"/>
            <a:ext cx="353" cy="22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03" y="410"/>
            <a:ext cx="355" cy="27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5"/>
          <xdr:cNvSpPr>
            <a:spLocks/>
          </xdr:cNvSpPr>
        </xdr:nvSpPr>
        <xdr:spPr>
          <a:xfrm>
            <a:off x="91" y="405"/>
            <a:ext cx="17" cy="75"/>
          </a:xfrm>
          <a:custGeom>
            <a:pathLst>
              <a:path h="84" w="17">
                <a:moveTo>
                  <a:pt x="0" y="83"/>
                </a:moveTo>
                <a:lnTo>
                  <a:pt x="0" y="0"/>
                </a:lnTo>
                <a:lnTo>
                  <a:pt x="17" y="1"/>
                </a:lnTo>
                <a:lnTo>
                  <a:pt x="17" y="84"/>
                </a:lnTo>
                <a:lnTo>
                  <a:pt x="0" y="8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6"/>
          <xdr:cNvSpPr>
            <a:spLocks/>
          </xdr:cNvSpPr>
        </xdr:nvSpPr>
        <xdr:spPr>
          <a:xfrm>
            <a:off x="91" y="500"/>
            <a:ext cx="367" cy="75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9" y="345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1" y="514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 noChangeAspect="1"/>
          </xdr:cNvSpPr>
        </xdr:nvSpPr>
        <xdr:spPr>
          <a:xfrm>
            <a:off x="67" y="454"/>
            <a:ext cx="28" cy="3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233" y="453"/>
            <a:ext cx="25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Oval 11"/>
          <xdr:cNvSpPr>
            <a:spLocks noChangeAspect="1"/>
          </xdr:cNvSpPr>
        </xdr:nvSpPr>
        <xdr:spPr>
          <a:xfrm>
            <a:off x="459" y="491"/>
            <a:ext cx="26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2" name="Oval 12"/>
          <xdr:cNvSpPr>
            <a:spLocks noChangeAspect="1"/>
          </xdr:cNvSpPr>
        </xdr:nvSpPr>
        <xdr:spPr>
          <a:xfrm>
            <a:off x="199" y="476"/>
            <a:ext cx="24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Oval 13"/>
          <xdr:cNvSpPr>
            <a:spLocks noChangeAspect="1"/>
          </xdr:cNvSpPr>
        </xdr:nvSpPr>
        <xdr:spPr>
          <a:xfrm>
            <a:off x="456" y="462"/>
            <a:ext cx="27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Polygon 14"/>
          <xdr:cNvSpPr>
            <a:spLocks/>
          </xdr:cNvSpPr>
        </xdr:nvSpPr>
        <xdr:spPr>
          <a:xfrm>
            <a:off x="437" y="513"/>
            <a:ext cx="17" cy="61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Polygon 15"/>
          <xdr:cNvSpPr>
            <a:spLocks/>
          </xdr:cNvSpPr>
        </xdr:nvSpPr>
        <xdr:spPr>
          <a:xfrm>
            <a:off x="39" y="486"/>
            <a:ext cx="54" cy="17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108" y="453"/>
            <a:ext cx="350" cy="28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17"/>
          <xdr:cNvSpPr>
            <a:spLocks/>
          </xdr:cNvSpPr>
        </xdr:nvSpPr>
        <xdr:spPr>
          <a:xfrm>
            <a:off x="39" y="395"/>
            <a:ext cx="54" cy="17"/>
          </a:xfrm>
          <a:custGeom>
            <a:pathLst>
              <a:path h="17" w="54">
                <a:moveTo>
                  <a:pt x="0" y="17"/>
                </a:moveTo>
                <a:lnTo>
                  <a:pt x="54" y="16"/>
                </a:lnTo>
                <a:lnTo>
                  <a:pt x="53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91" y="45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91" y="431"/>
            <a:ext cx="1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20"/>
          <xdr:cNvSpPr>
            <a:spLocks/>
          </xdr:cNvSpPr>
        </xdr:nvSpPr>
        <xdr:spPr>
          <a:xfrm>
            <a:off x="437" y="412"/>
            <a:ext cx="17" cy="33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21"/>
          <xdr:cNvSpPr>
            <a:spLocks/>
          </xdr:cNvSpPr>
        </xdr:nvSpPr>
        <xdr:spPr>
          <a:xfrm>
            <a:off x="437" y="484"/>
            <a:ext cx="17" cy="29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 noChangeAspect="1"/>
          </xdr:cNvSpPr>
        </xdr:nvSpPr>
        <xdr:spPr>
          <a:xfrm>
            <a:off x="65" y="430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67" y="405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4" name="Polygon 24"/>
          <xdr:cNvSpPr>
            <a:spLocks/>
          </xdr:cNvSpPr>
        </xdr:nvSpPr>
        <xdr:spPr>
          <a:xfrm>
            <a:off x="437" y="455"/>
            <a:ext cx="17" cy="30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 noChangeAspect="1"/>
          </xdr:cNvSpPr>
        </xdr:nvSpPr>
        <xdr:spPr>
          <a:xfrm>
            <a:off x="271" y="429"/>
            <a:ext cx="27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6" name="Polygon 26"/>
          <xdr:cNvSpPr>
            <a:spLocks/>
          </xdr:cNvSpPr>
        </xdr:nvSpPr>
        <xdr:spPr>
          <a:xfrm>
            <a:off x="437" y="434"/>
            <a:ext cx="17" cy="28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7"/>
          <xdr:cNvSpPr>
            <a:spLocks noChangeAspect="1"/>
          </xdr:cNvSpPr>
        </xdr:nvSpPr>
        <xdr:spPr>
          <a:xfrm>
            <a:off x="455" y="435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304" y="404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455" y="405"/>
            <a:ext cx="30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H="1">
            <a:off x="41" y="354"/>
            <a:ext cx="2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31"/>
          <xdr:cNvSpPr txBox="1">
            <a:spLocks noChangeArrowheads="1"/>
          </xdr:cNvSpPr>
        </xdr:nvSpPr>
        <xdr:spPr>
          <a:xfrm>
            <a:off x="153" y="518"/>
            <a:ext cx="23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du minerai cassé avant l'étape 1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184" y="314"/>
            <a:ext cx="288" cy="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Monterie hors chantier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(trous horizontaux)</a:t>
            </a:r>
          </a:p>
        </xdr:txBody>
      </xdr:sp>
      <xdr:sp>
        <xdr:nvSpPr>
          <xdr:cNvPr id="33" name="Polygon 33"/>
          <xdr:cNvSpPr>
            <a:spLocks/>
          </xdr:cNvSpPr>
        </xdr:nvSpPr>
        <xdr:spPr>
          <a:xfrm>
            <a:off x="19" y="338"/>
            <a:ext cx="21" cy="296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5</xdr:row>
      <xdr:rowOff>85725</xdr:rowOff>
    </xdr:from>
    <xdr:to>
      <xdr:col>6</xdr:col>
      <xdr:colOff>409575</xdr:colOff>
      <xdr:row>15</xdr:row>
      <xdr:rowOff>142875</xdr:rowOff>
    </xdr:to>
    <xdr:grpSp>
      <xdr:nvGrpSpPr>
        <xdr:cNvPr id="34" name="Group 34"/>
        <xdr:cNvGrpSpPr>
          <a:grpSpLocks/>
        </xdr:cNvGrpSpPr>
      </xdr:nvGrpSpPr>
      <xdr:grpSpPr>
        <a:xfrm>
          <a:off x="295275" y="923925"/>
          <a:ext cx="4686300" cy="1676400"/>
          <a:chOff x="31" y="97"/>
          <a:chExt cx="492" cy="176"/>
        </a:xfrm>
        <a:solidFill>
          <a:srgbClr val="FFFFFF"/>
        </a:solidFill>
      </xdr:grpSpPr>
      <xdr:grpSp>
        <xdr:nvGrpSpPr>
          <xdr:cNvPr id="35" name="Group 35"/>
          <xdr:cNvGrpSpPr>
            <a:grpSpLocks/>
          </xdr:cNvGrpSpPr>
        </xdr:nvGrpSpPr>
        <xdr:grpSpPr>
          <a:xfrm>
            <a:off x="39" y="150"/>
            <a:ext cx="431" cy="123"/>
            <a:chOff x="39" y="150"/>
            <a:chExt cx="431" cy="123"/>
          </a:xfrm>
          <a:solidFill>
            <a:srgbClr val="FFFFFF"/>
          </a:solidFill>
        </xdr:grpSpPr>
        <xdr:sp>
          <xdr:nvSpPr>
            <xdr:cNvPr id="36" name="Polygon 36"/>
            <xdr:cNvSpPr>
              <a:spLocks/>
            </xdr:cNvSpPr>
          </xdr:nvSpPr>
          <xdr:spPr>
            <a:xfrm>
              <a:off x="72" y="150"/>
              <a:ext cx="378" cy="120"/>
            </a:xfrm>
            <a:custGeom>
              <a:pathLst>
                <a:path h="142" w="363">
                  <a:moveTo>
                    <a:pt x="5" y="140"/>
                  </a:moveTo>
                  <a:cubicBezTo>
                    <a:pt x="8" y="142"/>
                    <a:pt x="3" y="115"/>
                    <a:pt x="5" y="103"/>
                  </a:cubicBezTo>
                  <a:cubicBezTo>
                    <a:pt x="6" y="99"/>
                    <a:pt x="7" y="88"/>
                    <a:pt x="7" y="88"/>
                  </a:cubicBezTo>
                  <a:cubicBezTo>
                    <a:pt x="8" y="83"/>
                    <a:pt x="0" y="73"/>
                    <a:pt x="8" y="70"/>
                  </a:cubicBezTo>
                  <a:cubicBezTo>
                    <a:pt x="16" y="67"/>
                    <a:pt x="37" y="69"/>
                    <a:pt x="56" y="70"/>
                  </a:cubicBezTo>
                  <a:cubicBezTo>
                    <a:pt x="61" y="70"/>
                    <a:pt x="113" y="72"/>
                    <a:pt x="121" y="74"/>
                  </a:cubicBezTo>
                  <a:cubicBezTo>
                    <a:pt x="127" y="74"/>
                    <a:pt x="139" y="77"/>
                    <a:pt x="139" y="77"/>
                  </a:cubicBezTo>
                  <a:cubicBezTo>
                    <a:pt x="141" y="77"/>
                    <a:pt x="143" y="77"/>
                    <a:pt x="145" y="75"/>
                  </a:cubicBezTo>
                  <a:cubicBezTo>
                    <a:pt x="149" y="70"/>
                    <a:pt x="137" y="37"/>
                    <a:pt x="134" y="32"/>
                  </a:cubicBezTo>
                  <a:cubicBezTo>
                    <a:pt x="132" y="19"/>
                    <a:pt x="126" y="11"/>
                    <a:pt x="123" y="0"/>
                  </a:cubicBezTo>
                  <a:cubicBezTo>
                    <a:pt x="129" y="0"/>
                    <a:pt x="135" y="0"/>
                    <a:pt x="141" y="2"/>
                  </a:cubicBezTo>
                  <a:cubicBezTo>
                    <a:pt x="152" y="5"/>
                    <a:pt x="157" y="72"/>
                    <a:pt x="167" y="77"/>
                  </a:cubicBezTo>
                  <a:cubicBezTo>
                    <a:pt x="174" y="74"/>
                    <a:pt x="183" y="74"/>
                    <a:pt x="189" y="72"/>
                  </a:cubicBezTo>
                  <a:cubicBezTo>
                    <a:pt x="211" y="74"/>
                    <a:pt x="232" y="77"/>
                    <a:pt x="254" y="79"/>
                  </a:cubicBezTo>
                  <a:cubicBezTo>
                    <a:pt x="277" y="79"/>
                    <a:pt x="299" y="77"/>
                    <a:pt x="321" y="77"/>
                  </a:cubicBezTo>
                  <a:cubicBezTo>
                    <a:pt x="349" y="77"/>
                    <a:pt x="343" y="68"/>
                    <a:pt x="352" y="84"/>
                  </a:cubicBezTo>
                  <a:cubicBezTo>
                    <a:pt x="357" y="109"/>
                    <a:pt x="363" y="114"/>
                    <a:pt x="363" y="142"/>
                  </a:cubicBezTo>
                  <a:lnTo>
                    <a:pt x="6" y="14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Rectangle 37"/>
            <xdr:cNvSpPr>
              <a:spLocks/>
            </xdr:cNvSpPr>
          </xdr:nvSpPr>
          <xdr:spPr>
            <a:xfrm>
              <a:off x="107" y="162"/>
              <a:ext cx="5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A</a:t>
              </a:r>
            </a:p>
          </xdr:txBody>
        </xdr:sp>
        <xdr:sp>
          <xdr:nvSpPr>
            <xdr:cNvPr id="38" name="Rectangle 38"/>
            <xdr:cNvSpPr>
              <a:spLocks/>
            </xdr:cNvSpPr>
          </xdr:nvSpPr>
          <xdr:spPr>
            <a:xfrm>
              <a:off x="337" y="187"/>
              <a:ext cx="5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Partie B</a:t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 flipH="1">
              <a:off x="225" y="163"/>
              <a:ext cx="37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40"/>
            <xdr:cNvSpPr>
              <a:spLocks/>
            </xdr:cNvSpPr>
          </xdr:nvSpPr>
          <xdr:spPr>
            <a:xfrm>
              <a:off x="263" y="151"/>
              <a:ext cx="9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MONTERIE</a:t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81" y="242"/>
              <a:ext cx="36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42"/>
            <xdr:cNvSpPr>
              <a:spLocks noChangeAspect="1"/>
            </xdr:cNvSpPr>
          </xdr:nvSpPr>
          <xdr:spPr>
            <a:xfrm>
              <a:off x="39" y="190"/>
              <a:ext cx="29" cy="25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43" name="Oval 43"/>
            <xdr:cNvSpPr>
              <a:spLocks noChangeAspect="1"/>
            </xdr:cNvSpPr>
          </xdr:nvSpPr>
          <xdr:spPr>
            <a:xfrm>
              <a:off x="294" y="187"/>
              <a:ext cx="28" cy="28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44" name="Oval 44"/>
            <xdr:cNvSpPr>
              <a:spLocks noChangeAspect="1"/>
            </xdr:cNvSpPr>
          </xdr:nvSpPr>
          <xdr:spPr>
            <a:xfrm>
              <a:off x="48" y="242"/>
              <a:ext cx="31" cy="31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45" name="Oval 45"/>
            <xdr:cNvSpPr>
              <a:spLocks noChangeAspect="1"/>
            </xdr:cNvSpPr>
          </xdr:nvSpPr>
          <xdr:spPr>
            <a:xfrm>
              <a:off x="140" y="183"/>
              <a:ext cx="26" cy="26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46" name="Polygon 46"/>
            <xdr:cNvSpPr>
              <a:spLocks/>
            </xdr:cNvSpPr>
          </xdr:nvSpPr>
          <xdr:spPr>
            <a:xfrm>
              <a:off x="77" y="185"/>
              <a:ext cx="18" cy="25"/>
            </a:xfrm>
            <a:custGeom>
              <a:pathLst>
                <a:path h="25" w="15">
                  <a:moveTo>
                    <a:pt x="1" y="25"/>
                  </a:moveTo>
                  <a:lnTo>
                    <a:pt x="0" y="1"/>
                  </a:lnTo>
                  <a:lnTo>
                    <a:pt x="13" y="0"/>
                  </a:lnTo>
                  <a:lnTo>
                    <a:pt x="15" y="2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Polygon 47"/>
            <xdr:cNvSpPr>
              <a:spLocks/>
            </xdr:cNvSpPr>
          </xdr:nvSpPr>
          <xdr:spPr>
            <a:xfrm>
              <a:off x="418" y="183"/>
              <a:ext cx="23" cy="33"/>
            </a:xfrm>
            <a:custGeom>
              <a:pathLst>
                <a:path h="27" w="21">
                  <a:moveTo>
                    <a:pt x="15" y="27"/>
                  </a:moveTo>
                  <a:lnTo>
                    <a:pt x="21" y="3"/>
                  </a:lnTo>
                  <a:lnTo>
                    <a:pt x="7" y="0"/>
                  </a:lnTo>
                  <a:lnTo>
                    <a:pt x="0" y="26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Oval 48"/>
            <xdr:cNvSpPr>
              <a:spLocks noChangeAspect="1"/>
            </xdr:cNvSpPr>
          </xdr:nvSpPr>
          <xdr:spPr>
            <a:xfrm>
              <a:off x="446" y="181"/>
              <a:ext cx="24" cy="2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81" y="184"/>
              <a:ext cx="1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 flipH="1" flipV="1">
              <a:off x="233" y="184"/>
              <a:ext cx="2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51"/>
            <xdr:cNvSpPr>
              <a:spLocks noChangeAspect="1"/>
            </xdr:cNvSpPr>
          </xdr:nvSpPr>
          <xdr:spPr>
            <a:xfrm>
              <a:off x="442" y="246"/>
              <a:ext cx="27" cy="2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52" name="Polygon 52"/>
            <xdr:cNvSpPr>
              <a:spLocks/>
            </xdr:cNvSpPr>
          </xdr:nvSpPr>
          <xdr:spPr>
            <a:xfrm>
              <a:off x="83" y="243"/>
              <a:ext cx="17" cy="27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Polygon 53"/>
            <xdr:cNvSpPr>
              <a:spLocks/>
            </xdr:cNvSpPr>
          </xdr:nvSpPr>
          <xdr:spPr>
            <a:xfrm>
              <a:off x="423" y="243"/>
              <a:ext cx="17" cy="27"/>
            </a:xfrm>
            <a:custGeom>
              <a:pathLst>
                <a:path h="27" w="17">
                  <a:moveTo>
                    <a:pt x="17" y="27"/>
                  </a:moveTo>
                  <a:lnTo>
                    <a:pt x="17" y="0"/>
                  </a:lnTo>
                  <a:lnTo>
                    <a:pt x="0" y="0"/>
                  </a:lnTo>
                  <a:lnTo>
                    <a:pt x="0" y="27"/>
                  </a:lnTo>
                </a:path>
              </a:pathLst>
            </a:custGeom>
            <a:pattFill prst="ltHorz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TextBox 54"/>
          <xdr:cNvSpPr txBox="1">
            <a:spLocks noChangeArrowheads="1"/>
          </xdr:cNvSpPr>
        </xdr:nvSpPr>
        <xdr:spPr>
          <a:xfrm>
            <a:off x="31" y="97"/>
            <a:ext cx="49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verticaux</a:t>
            </a:r>
          </a:p>
        </xdr:txBody>
      </xdr:sp>
    </xdr:grpSp>
    <xdr:clientData/>
  </xdr:twoCellAnchor>
  <xdr:twoCellAnchor>
    <xdr:from>
      <xdr:col>0</xdr:col>
      <xdr:colOff>752475</xdr:colOff>
      <xdr:row>38</xdr:row>
      <xdr:rowOff>133350</xdr:rowOff>
    </xdr:from>
    <xdr:to>
      <xdr:col>5</xdr:col>
      <xdr:colOff>447675</xdr:colOff>
      <xdr:row>59</xdr:row>
      <xdr:rowOff>19050</xdr:rowOff>
    </xdr:to>
    <xdr:grpSp>
      <xdr:nvGrpSpPr>
        <xdr:cNvPr id="55" name="Group 55"/>
        <xdr:cNvGrpSpPr>
          <a:grpSpLocks/>
        </xdr:cNvGrpSpPr>
      </xdr:nvGrpSpPr>
      <xdr:grpSpPr>
        <a:xfrm>
          <a:off x="752475" y="6334125"/>
          <a:ext cx="3505200" cy="3286125"/>
          <a:chOff x="79" y="665"/>
          <a:chExt cx="368" cy="345"/>
        </a:xfrm>
        <a:solidFill>
          <a:srgbClr val="FFFFFF"/>
        </a:solidFill>
      </xdr:grpSpPr>
      <xdr:sp>
        <xdr:nvSpPr>
          <xdr:cNvPr id="56" name="Polygon 56"/>
          <xdr:cNvSpPr>
            <a:spLocks/>
          </xdr:cNvSpPr>
        </xdr:nvSpPr>
        <xdr:spPr>
          <a:xfrm>
            <a:off x="80" y="905"/>
            <a:ext cx="367" cy="67"/>
          </a:xfrm>
          <a:custGeom>
            <a:pathLst>
              <a:path h="67" w="367">
                <a:moveTo>
                  <a:pt x="0" y="67"/>
                </a:moveTo>
                <a:lnTo>
                  <a:pt x="0" y="0"/>
                </a:lnTo>
                <a:lnTo>
                  <a:pt x="367" y="0"/>
                </a:lnTo>
                <a:lnTo>
                  <a:pt x="367" y="67"/>
                </a:lnTo>
                <a:lnTo>
                  <a:pt x="0" y="6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305" y="75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79" y="920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268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80" y="883"/>
            <a:ext cx="366" cy="25"/>
          </a:xfrm>
          <a:custGeom>
            <a:pathLst>
              <a:path h="25" w="368">
                <a:moveTo>
                  <a:pt x="0" y="25"/>
                </a:moveTo>
                <a:lnTo>
                  <a:pt x="1" y="0"/>
                </a:lnTo>
                <a:lnTo>
                  <a:pt x="368" y="0"/>
                </a:lnTo>
                <a:lnTo>
                  <a:pt x="368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 flipH="1">
            <a:off x="271" y="762"/>
            <a:ext cx="2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151" y="926"/>
            <a:ext cx="22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niveau du minerai cassé avant l'étape 1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133" y="665"/>
            <a:ext cx="249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Monterie centrale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(trous horizontaux)</a:t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265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217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Polygon 66"/>
          <xdr:cNvSpPr>
            <a:spLocks/>
          </xdr:cNvSpPr>
        </xdr:nvSpPr>
        <xdr:spPr>
          <a:xfrm>
            <a:off x="244" y="737"/>
            <a:ext cx="21" cy="168"/>
          </a:xfrm>
          <a:custGeom>
            <a:pathLst>
              <a:path h="207" w="21">
                <a:moveTo>
                  <a:pt x="21" y="207"/>
                </a:moveTo>
                <a:lnTo>
                  <a:pt x="21" y="0"/>
                </a:lnTo>
                <a:lnTo>
                  <a:pt x="0" y="0"/>
                </a:lnTo>
                <a:lnTo>
                  <a:pt x="0" y="207"/>
                </a:lnTo>
                <a:lnTo>
                  <a:pt x="21" y="20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218" y="857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90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92" y="883"/>
            <a:ext cx="27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91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297" y="858"/>
            <a:ext cx="24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81" y="985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Box 73"/>
          <xdr:cNvSpPr txBox="1">
            <a:spLocks noChangeArrowheads="1"/>
          </xdr:cNvSpPr>
        </xdr:nvSpPr>
        <xdr:spPr>
          <a:xfrm>
            <a:off x="175" y="989"/>
            <a:ext cx="20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environ 50 m de longueur</a:t>
            </a:r>
          </a:p>
        </xdr:txBody>
      </xdr:sp>
    </xdr:grpSp>
    <xdr:clientData/>
  </xdr:twoCellAnchor>
  <xdr:twoCellAnchor>
    <xdr:from>
      <xdr:col>0</xdr:col>
      <xdr:colOff>295275</xdr:colOff>
      <xdr:row>63</xdr:row>
      <xdr:rowOff>28575</xdr:rowOff>
    </xdr:from>
    <xdr:to>
      <xdr:col>6</xdr:col>
      <xdr:colOff>571500</xdr:colOff>
      <xdr:row>73</xdr:row>
      <xdr:rowOff>76200</xdr:rowOff>
    </xdr:to>
    <xdr:grpSp>
      <xdr:nvGrpSpPr>
        <xdr:cNvPr id="74" name="Group 74"/>
        <xdr:cNvGrpSpPr>
          <a:grpSpLocks/>
        </xdr:cNvGrpSpPr>
      </xdr:nvGrpSpPr>
      <xdr:grpSpPr>
        <a:xfrm>
          <a:off x="295275" y="10287000"/>
          <a:ext cx="4848225" cy="1666875"/>
          <a:chOff x="31" y="1080"/>
          <a:chExt cx="509" cy="175"/>
        </a:xfrm>
        <a:solidFill>
          <a:srgbClr val="FFFFFF"/>
        </a:solidFill>
      </xdr:grpSpPr>
      <xdr:sp>
        <xdr:nvSpPr>
          <xdr:cNvPr id="75" name="Rectangle 75"/>
          <xdr:cNvSpPr>
            <a:spLocks/>
          </xdr:cNvSpPr>
        </xdr:nvSpPr>
        <xdr:spPr>
          <a:xfrm>
            <a:off x="79" y="1179"/>
            <a:ext cx="368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9" y="1201"/>
            <a:ext cx="368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107" y="1158"/>
            <a:ext cx="5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A</a:t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334" y="1156"/>
            <a:ext cx="5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Partie B</a:t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245" y="1140"/>
            <a:ext cx="6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307" y="1126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MONTERIE</a:t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81" y="1225"/>
            <a:ext cx="3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201" y="1177"/>
            <a:ext cx="29" cy="25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311" y="1175"/>
            <a:ext cx="28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442" y="1194"/>
            <a:ext cx="29" cy="29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47" y="1199"/>
            <a:ext cx="30" cy="2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6" name="Polygon 86"/>
          <xdr:cNvSpPr>
            <a:spLocks/>
          </xdr:cNvSpPr>
        </xdr:nvSpPr>
        <xdr:spPr>
          <a:xfrm>
            <a:off x="83" y="1226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Polygon 87"/>
          <xdr:cNvSpPr>
            <a:spLocks/>
          </xdr:cNvSpPr>
        </xdr:nvSpPr>
        <xdr:spPr>
          <a:xfrm>
            <a:off x="423" y="1226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TextBox 88"/>
          <xdr:cNvSpPr txBox="1">
            <a:spLocks noChangeArrowheads="1"/>
          </xdr:cNvSpPr>
        </xdr:nvSpPr>
        <xdr:spPr>
          <a:xfrm>
            <a:off x="31" y="1080"/>
            <a:ext cx="509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Étapes typiques de minage par trous horizontaux</a:t>
            </a:r>
          </a:p>
        </xdr:txBody>
      </xdr:sp>
      <xdr:sp>
        <xdr:nvSpPr>
          <xdr:cNvPr id="89" name="Polygon 89"/>
          <xdr:cNvSpPr>
            <a:spLocks/>
          </xdr:cNvSpPr>
        </xdr:nvSpPr>
        <xdr:spPr>
          <a:xfrm>
            <a:off x="222" y="1129"/>
            <a:ext cx="37" cy="72"/>
          </a:xfrm>
          <a:custGeom>
            <a:pathLst>
              <a:path h="72" w="37">
                <a:moveTo>
                  <a:pt x="0" y="0"/>
                </a:moveTo>
                <a:lnTo>
                  <a:pt x="17" y="0"/>
                </a:lnTo>
                <a:lnTo>
                  <a:pt x="37" y="72"/>
                </a:lnTo>
                <a:lnTo>
                  <a:pt x="21" y="7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Polygon 90"/>
          <xdr:cNvSpPr>
            <a:spLocks/>
          </xdr:cNvSpPr>
        </xdr:nvSpPr>
        <xdr:spPr>
          <a:xfrm>
            <a:off x="423" y="1200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Polygon 91"/>
          <xdr:cNvSpPr>
            <a:spLocks/>
          </xdr:cNvSpPr>
        </xdr:nvSpPr>
        <xdr:spPr>
          <a:xfrm>
            <a:off x="83" y="1199"/>
            <a:ext cx="17" cy="27"/>
          </a:xfrm>
          <a:custGeom>
            <a:pathLst>
              <a:path h="27" w="17">
                <a:moveTo>
                  <a:pt x="17" y="27"/>
                </a:moveTo>
                <a:lnTo>
                  <a:pt x="17" y="0"/>
                </a:lnTo>
                <a:lnTo>
                  <a:pt x="0" y="0"/>
                </a:lnTo>
                <a:lnTo>
                  <a:pt x="0" y="27"/>
                </a:lnTo>
              </a:path>
            </a:pathLst>
          </a:custGeom>
          <a:pattFill prst="ltHorz">
            <a:fgClr>
              <a:srgbClr val="000000"/>
            </a:fgClr>
            <a:bgClr>
              <a:srgbClr val="C0C0C0"/>
            </a:bgClr>
          </a:patt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1"/>
  <sheetViews>
    <sheetView tabSelected="1" zoomScale="75" zoomScaleNormal="75" workbookViewId="0" topLeftCell="A61">
      <selection activeCell="I65" sqref="I65"/>
    </sheetView>
  </sheetViews>
  <sheetFormatPr defaultColWidth="9.140625" defaultRowHeight="12.75"/>
  <cols>
    <col min="1" max="1" width="20.00390625" style="0" customWidth="1"/>
    <col min="2" max="2" width="12.57421875" style="0" customWidth="1"/>
    <col min="3" max="3" width="13.28125" style="0" customWidth="1"/>
    <col min="4" max="4" width="13.421875" style="0" customWidth="1"/>
    <col min="5" max="5" width="15.8515625" style="0" customWidth="1"/>
    <col min="6" max="6" width="13.8515625" style="0" customWidth="1"/>
    <col min="7" max="7" width="13.140625" style="0" customWidth="1"/>
    <col min="8" max="8" width="14.00390625" style="0" customWidth="1"/>
    <col min="9" max="9" width="17.28125" style="0" customWidth="1"/>
    <col min="10" max="16384" width="11.421875" style="0" customWidth="1"/>
  </cols>
  <sheetData>
    <row r="2" spans="1:6" ht="31.5">
      <c r="A2" s="164" t="s">
        <v>176</v>
      </c>
      <c r="F2" s="162"/>
    </row>
    <row r="3" spans="1:9" ht="13.5" thickBot="1">
      <c r="A3" s="7"/>
      <c r="B3" s="7"/>
      <c r="C3" s="7"/>
      <c r="D3" s="7"/>
      <c r="E3" s="7"/>
      <c r="F3" s="7"/>
      <c r="G3" s="7"/>
      <c r="H3" s="7"/>
      <c r="I3" s="191" t="s">
        <v>202</v>
      </c>
    </row>
    <row r="4" ht="24.75">
      <c r="A4" s="102" t="s">
        <v>41</v>
      </c>
    </row>
    <row r="5" spans="3:6" ht="12.75">
      <c r="C5" s="10"/>
      <c r="D5" s="10"/>
      <c r="E5" s="10"/>
      <c r="F5" s="10"/>
    </row>
    <row r="6" spans="1:3" ht="12.75">
      <c r="A6" s="10" t="s">
        <v>61</v>
      </c>
      <c r="C6" s="227"/>
    </row>
    <row r="7" spans="3:9" ht="12.75" customHeight="1">
      <c r="C7" s="257" t="s">
        <v>63</v>
      </c>
      <c r="H7" s="10"/>
      <c r="I7" s="17" t="s">
        <v>67</v>
      </c>
    </row>
    <row r="8" spans="1:9" ht="12.75">
      <c r="A8" s="18" t="s">
        <v>44</v>
      </c>
      <c r="B8" s="19" t="s">
        <v>62</v>
      </c>
      <c r="C8" s="258"/>
      <c r="D8" s="173" t="s">
        <v>64</v>
      </c>
      <c r="E8" s="249" t="s">
        <v>65</v>
      </c>
      <c r="F8" s="249"/>
      <c r="H8" s="19" t="s">
        <v>66</v>
      </c>
      <c r="I8" s="20" t="s">
        <v>12</v>
      </c>
    </row>
    <row r="9" spans="1:9" ht="12.75">
      <c r="A9" s="66">
        <v>55</v>
      </c>
      <c r="B9" s="114">
        <v>1.8</v>
      </c>
      <c r="C9" s="66">
        <v>60</v>
      </c>
      <c r="D9" s="66">
        <v>80</v>
      </c>
      <c r="E9" s="250">
        <f>C9/COS((90-D9)*PI()/180)</f>
        <v>60.9255967131447</v>
      </c>
      <c r="F9" s="250"/>
      <c r="H9" s="66">
        <v>2.9</v>
      </c>
      <c r="I9" s="66">
        <v>1.38</v>
      </c>
    </row>
    <row r="12" spans="1:5" ht="12.75">
      <c r="A12" s="245" t="s">
        <v>179</v>
      </c>
      <c r="B12" s="245"/>
      <c r="C12" s="245" t="s">
        <v>7</v>
      </c>
      <c r="D12" s="245"/>
      <c r="E12" s="245"/>
    </row>
    <row r="13" spans="1:5" ht="12.75">
      <c r="A13" s="163" t="s">
        <v>68</v>
      </c>
      <c r="B13" s="163" t="s">
        <v>69</v>
      </c>
      <c r="C13" s="163" t="s">
        <v>68</v>
      </c>
      <c r="D13" s="163" t="s">
        <v>69</v>
      </c>
      <c r="E13" s="163" t="s">
        <v>70</v>
      </c>
    </row>
    <row r="14" spans="1:5" ht="12.75">
      <c r="A14" s="36">
        <f>+A9*C9*H9*(B9/SIN((D9)*PI()/180))</f>
        <v>17491.738816343845</v>
      </c>
      <c r="B14" s="114">
        <v>17.4</v>
      </c>
      <c r="C14" s="36">
        <f>A14*(1+E14)</f>
        <v>19240.91269797823</v>
      </c>
      <c r="D14" s="22">
        <f>(+A14*B14+A14*E14)/C14</f>
        <v>15.909090909090907</v>
      </c>
      <c r="E14" s="115">
        <v>0.1</v>
      </c>
    </row>
    <row r="19" spans="2:6" ht="12.75">
      <c r="B19" s="23"/>
      <c r="C19" s="24"/>
      <c r="D19" s="23"/>
      <c r="E19" s="24"/>
      <c r="F19" s="25"/>
    </row>
    <row r="20" spans="2:6" ht="12.75">
      <c r="B20" s="23"/>
      <c r="C20" s="24"/>
      <c r="D20" s="23"/>
      <c r="F20" s="26"/>
    </row>
    <row r="22" ht="24.75">
      <c r="A22" s="102" t="s">
        <v>96</v>
      </c>
    </row>
    <row r="23" spans="2:6" ht="12.75">
      <c r="B23" s="23"/>
      <c r="C23" s="24"/>
      <c r="D23" s="23"/>
      <c r="F23" s="26"/>
    </row>
    <row r="24" ht="19.5">
      <c r="A24" s="103" t="s">
        <v>24</v>
      </c>
    </row>
    <row r="25" spans="1:6" ht="19.5">
      <c r="A25" s="103"/>
      <c r="B25" s="23"/>
      <c r="C25" s="24"/>
      <c r="D25" s="23"/>
      <c r="E25" s="24"/>
      <c r="F25" s="25"/>
    </row>
    <row r="26" spans="3:8" ht="15.75">
      <c r="C26" s="261" t="s">
        <v>14</v>
      </c>
      <c r="D26" s="261"/>
      <c r="G26" s="239" t="s">
        <v>76</v>
      </c>
      <c r="H26" s="239" t="s">
        <v>189</v>
      </c>
    </row>
    <row r="27" spans="3:8" ht="15">
      <c r="C27" s="38" t="s">
        <v>72</v>
      </c>
      <c r="D27" s="38" t="s">
        <v>73</v>
      </c>
      <c r="E27" s="46" t="s">
        <v>74</v>
      </c>
      <c r="F27" s="58" t="s">
        <v>75</v>
      </c>
      <c r="G27" s="239"/>
      <c r="H27" s="239"/>
    </row>
    <row r="28" spans="1:8" ht="15">
      <c r="A28" s="47" t="s">
        <v>80</v>
      </c>
      <c r="B28" s="44"/>
      <c r="C28" s="104">
        <v>2.4</v>
      </c>
      <c r="D28" s="104">
        <v>2.6</v>
      </c>
      <c r="E28" s="6">
        <f aca="true" t="shared" si="0" ref="E28:E35">C28*D28*$H$9</f>
        <v>18.096</v>
      </c>
      <c r="F28" s="105">
        <v>2</v>
      </c>
      <c r="G28" s="106">
        <v>2.3</v>
      </c>
      <c r="H28" s="57">
        <f aca="true" t="shared" si="1" ref="H28:H35">+G28/F28</f>
        <v>1.15</v>
      </c>
    </row>
    <row r="29" spans="1:8" ht="15">
      <c r="A29" s="47" t="s">
        <v>81</v>
      </c>
      <c r="B29" s="44"/>
      <c r="C29" s="104">
        <v>2.6</v>
      </c>
      <c r="D29" s="104">
        <v>2.7</v>
      </c>
      <c r="E29" s="6">
        <f t="shared" si="0"/>
        <v>20.358</v>
      </c>
      <c r="F29" s="105">
        <v>2</v>
      </c>
      <c r="G29" s="106">
        <v>2.3</v>
      </c>
      <c r="H29" s="57">
        <f>+G29/F29</f>
        <v>1.15</v>
      </c>
    </row>
    <row r="30" spans="1:8" ht="15">
      <c r="A30" s="47" t="s">
        <v>57</v>
      </c>
      <c r="B30" s="44"/>
      <c r="C30" s="104">
        <v>3</v>
      </c>
      <c r="D30" s="104">
        <v>2.7</v>
      </c>
      <c r="E30" s="6">
        <f t="shared" si="0"/>
        <v>23.490000000000002</v>
      </c>
      <c r="F30" s="105">
        <v>2</v>
      </c>
      <c r="G30" s="106">
        <v>1.8</v>
      </c>
      <c r="H30" s="57">
        <f t="shared" si="1"/>
        <v>0.9</v>
      </c>
    </row>
    <row r="31" spans="1:8" ht="15">
      <c r="A31" s="47" t="s">
        <v>129</v>
      </c>
      <c r="B31" s="44"/>
      <c r="C31" s="104">
        <v>1.8</v>
      </c>
      <c r="D31" s="104">
        <v>2.4</v>
      </c>
      <c r="E31" s="6">
        <f t="shared" si="0"/>
        <v>12.528</v>
      </c>
      <c r="F31" s="105">
        <v>2</v>
      </c>
      <c r="G31" s="106">
        <v>1.8</v>
      </c>
      <c r="H31" s="57">
        <f t="shared" si="1"/>
        <v>0.9</v>
      </c>
    </row>
    <row r="32" spans="1:8" ht="15">
      <c r="A32" s="47" t="s">
        <v>71</v>
      </c>
      <c r="B32" s="44"/>
      <c r="C32" s="104">
        <v>2.7</v>
      </c>
      <c r="D32" s="104">
        <v>2.7</v>
      </c>
      <c r="E32" s="6">
        <f t="shared" si="0"/>
        <v>21.141000000000002</v>
      </c>
      <c r="F32" s="105">
        <v>2</v>
      </c>
      <c r="G32" s="106">
        <v>2.3</v>
      </c>
      <c r="H32" s="57">
        <f t="shared" si="1"/>
        <v>1.15</v>
      </c>
    </row>
    <row r="33" spans="1:8" ht="15">
      <c r="A33" s="47" t="s">
        <v>196</v>
      </c>
      <c r="B33" s="44"/>
      <c r="C33" s="104">
        <v>1.8</v>
      </c>
      <c r="D33" s="104">
        <v>2.4</v>
      </c>
      <c r="E33" s="6">
        <f>C33*D33*$H$13</f>
        <v>0</v>
      </c>
      <c r="F33" s="105">
        <v>2</v>
      </c>
      <c r="G33" s="106">
        <v>2.3</v>
      </c>
      <c r="H33" s="57">
        <f t="shared" si="1"/>
        <v>1.15</v>
      </c>
    </row>
    <row r="34" spans="1:8" ht="15">
      <c r="A34" s="47" t="s">
        <v>136</v>
      </c>
      <c r="B34" s="44"/>
      <c r="C34" s="104">
        <v>2.4</v>
      </c>
      <c r="D34" s="104">
        <v>2.4</v>
      </c>
      <c r="E34" s="6">
        <f t="shared" si="0"/>
        <v>16.704</v>
      </c>
      <c r="F34" s="105">
        <v>2</v>
      </c>
      <c r="G34" s="106">
        <v>2.3</v>
      </c>
      <c r="H34" s="57">
        <f t="shared" si="1"/>
        <v>1.15</v>
      </c>
    </row>
    <row r="35" spans="1:8" ht="15">
      <c r="A35" s="47" t="s">
        <v>137</v>
      </c>
      <c r="B35" s="44"/>
      <c r="C35" s="104">
        <v>2.4</v>
      </c>
      <c r="D35" s="104">
        <v>3</v>
      </c>
      <c r="E35" s="6">
        <f t="shared" si="0"/>
        <v>20.88</v>
      </c>
      <c r="F35" s="105">
        <v>2</v>
      </c>
      <c r="G35" s="106">
        <v>1.8</v>
      </c>
      <c r="H35" s="57">
        <f t="shared" si="1"/>
        <v>0.9</v>
      </c>
    </row>
    <row r="36" ht="15" customHeight="1">
      <c r="A36" s="27"/>
    </row>
    <row r="37" ht="15" customHeight="1">
      <c r="A37" s="27"/>
    </row>
    <row r="38" ht="19.5">
      <c r="A38" s="103" t="s">
        <v>88</v>
      </c>
    </row>
    <row r="39" ht="9" customHeight="1" thickBot="1">
      <c r="A39" s="27"/>
    </row>
    <row r="40" spans="1:9" ht="15">
      <c r="A40" s="196" t="s">
        <v>20</v>
      </c>
      <c r="B40" s="246" t="s">
        <v>116</v>
      </c>
      <c r="C40" s="247"/>
      <c r="D40" s="247"/>
      <c r="E40" s="248"/>
      <c r="F40" s="259" t="s">
        <v>36</v>
      </c>
      <c r="G40" s="260"/>
      <c r="H40" s="259" t="s">
        <v>39</v>
      </c>
      <c r="I40" s="260"/>
    </row>
    <row r="41" spans="1:9" ht="12.75">
      <c r="A41" s="197" t="s">
        <v>21</v>
      </c>
      <c r="B41" s="65" t="s">
        <v>77</v>
      </c>
      <c r="C41" s="38" t="s">
        <v>82</v>
      </c>
      <c r="D41" s="38" t="s">
        <v>78</v>
      </c>
      <c r="E41" s="40" t="s">
        <v>79</v>
      </c>
      <c r="F41" s="65" t="s">
        <v>77</v>
      </c>
      <c r="G41" s="40" t="s">
        <v>82</v>
      </c>
      <c r="H41" s="39" t="s">
        <v>77</v>
      </c>
      <c r="I41" s="40" t="s">
        <v>83</v>
      </c>
    </row>
    <row r="42" spans="1:9" ht="12.75">
      <c r="A42" s="198" t="s">
        <v>56</v>
      </c>
      <c r="B42" s="193">
        <v>60</v>
      </c>
      <c r="C42" s="66">
        <v>21.1</v>
      </c>
      <c r="D42" s="115">
        <v>0.35</v>
      </c>
      <c r="E42" s="117">
        <v>5</v>
      </c>
      <c r="F42" s="116">
        <v>70</v>
      </c>
      <c r="G42" s="118">
        <v>21.1</v>
      </c>
      <c r="H42" s="12">
        <f>+F42+B42</f>
        <v>130</v>
      </c>
      <c r="I42" s="14">
        <f>ROUND(+G42*F42+C42*B42,0)</f>
        <v>2743</v>
      </c>
    </row>
    <row r="43" spans="1:9" ht="12.75">
      <c r="A43" s="199" t="s">
        <v>84</v>
      </c>
      <c r="B43" s="193"/>
      <c r="C43" s="66"/>
      <c r="D43" s="115"/>
      <c r="E43" s="117"/>
      <c r="F43" s="116"/>
      <c r="G43" s="118"/>
      <c r="H43" s="12">
        <f>+B43+F43</f>
        <v>0</v>
      </c>
      <c r="I43" s="14">
        <f>ROUND(+G43*F43+C43*B43,0)</f>
        <v>0</v>
      </c>
    </row>
    <row r="44" spans="1:9" ht="13.5" thickBot="1">
      <c r="A44" s="200"/>
      <c r="B44" s="194"/>
      <c r="C44" s="119"/>
      <c r="D44" s="120"/>
      <c r="E44" s="121"/>
      <c r="F44" s="112"/>
      <c r="G44" s="122"/>
      <c r="H44" s="12">
        <f>+B44+F44</f>
        <v>0</v>
      </c>
      <c r="I44" s="14">
        <f>ROUND(+G44*F44+C44*B44,0)</f>
        <v>0</v>
      </c>
    </row>
    <row r="45" spans="1:9" ht="15.75" thickBot="1">
      <c r="A45" s="201" t="s">
        <v>23</v>
      </c>
      <c r="B45" s="195">
        <f>SUM(B42:B44)</f>
        <v>60</v>
      </c>
      <c r="C45" s="93">
        <f>IF(B45=0,0,SUMPRODUCT(B42:B44,C42:C44)/B45)</f>
        <v>21.1</v>
      </c>
      <c r="D45" s="94"/>
      <c r="E45" s="95">
        <f>IF(B45=0,0,SUMPRODUCT(B42:B44,C42:C44,E42:E44)/B45/C45)</f>
        <v>5</v>
      </c>
      <c r="F45" s="91">
        <f>SUM(F42:F44)</f>
        <v>70</v>
      </c>
      <c r="G45" s="96">
        <f>IF(F45=0,0,SUMPRODUCT(F42:F44,G42:G44)/F45)</f>
        <v>21.1</v>
      </c>
      <c r="H45" s="92">
        <f>SUM(H42:H43)</f>
        <v>130</v>
      </c>
      <c r="I45" s="96">
        <f>SUM(I42:I43)</f>
        <v>2743</v>
      </c>
    </row>
    <row r="46" ht="13.5" thickBot="1"/>
    <row r="47" spans="1:9" ht="15">
      <c r="A47" s="196" t="s">
        <v>20</v>
      </c>
      <c r="B47" s="246" t="s">
        <v>116</v>
      </c>
      <c r="C47" s="247"/>
      <c r="D47" s="247"/>
      <c r="E47" s="248"/>
      <c r="F47" s="259" t="s">
        <v>36</v>
      </c>
      <c r="G47" s="260"/>
      <c r="H47" s="259" t="s">
        <v>39</v>
      </c>
      <c r="I47" s="260"/>
    </row>
    <row r="48" spans="1:9" ht="12.75">
      <c r="A48" s="197" t="s">
        <v>22</v>
      </c>
      <c r="B48" s="65" t="s">
        <v>77</v>
      </c>
      <c r="C48" s="38" t="s">
        <v>82</v>
      </c>
      <c r="D48" s="38" t="s">
        <v>78</v>
      </c>
      <c r="E48" s="40" t="s">
        <v>79</v>
      </c>
      <c r="F48" s="65" t="s">
        <v>77</v>
      </c>
      <c r="G48" s="40" t="s">
        <v>82</v>
      </c>
      <c r="H48" s="39" t="s">
        <v>77</v>
      </c>
      <c r="I48" s="40" t="s">
        <v>83</v>
      </c>
    </row>
    <row r="49" spans="1:9" ht="12.75">
      <c r="A49" s="199" t="s">
        <v>55</v>
      </c>
      <c r="B49" s="193"/>
      <c r="C49" s="66"/>
      <c r="D49" s="115"/>
      <c r="E49" s="117"/>
      <c r="F49" s="116">
        <v>70</v>
      </c>
      <c r="G49" s="118">
        <v>21.1</v>
      </c>
      <c r="H49" s="12">
        <f>+B49+F49</f>
        <v>70</v>
      </c>
      <c r="I49" s="14">
        <f aca="true" t="shared" si="2" ref="I49:I57">ROUND(+G49*F49+C49*B49,0)</f>
        <v>1477</v>
      </c>
    </row>
    <row r="50" spans="1:9" ht="12.75">
      <c r="A50" s="199" t="s">
        <v>57</v>
      </c>
      <c r="B50" s="193"/>
      <c r="C50" s="66"/>
      <c r="D50" s="115"/>
      <c r="E50" s="117"/>
      <c r="F50" s="116">
        <f>6*10</f>
        <v>60</v>
      </c>
      <c r="G50" s="118">
        <v>23.5</v>
      </c>
      <c r="H50" s="12">
        <f>+F50+B50</f>
        <v>60</v>
      </c>
      <c r="I50" s="14">
        <f t="shared" si="2"/>
        <v>1410</v>
      </c>
    </row>
    <row r="51" spans="1:9" ht="12.75">
      <c r="A51" s="199" t="s">
        <v>6</v>
      </c>
      <c r="B51" s="193">
        <v>61</v>
      </c>
      <c r="C51" s="66">
        <v>10.6</v>
      </c>
      <c r="D51" s="115">
        <v>0.3</v>
      </c>
      <c r="E51" s="117">
        <v>16</v>
      </c>
      <c r="F51" s="116"/>
      <c r="G51" s="118"/>
      <c r="H51" s="12">
        <f>+F51+B51</f>
        <v>61</v>
      </c>
      <c r="I51" s="14">
        <f t="shared" si="2"/>
        <v>647</v>
      </c>
    </row>
    <row r="52" spans="1:9" ht="12.75">
      <c r="A52" s="199" t="s">
        <v>183</v>
      </c>
      <c r="B52" s="193"/>
      <c r="C52" s="66"/>
      <c r="D52" s="115"/>
      <c r="E52" s="117"/>
      <c r="F52" s="116"/>
      <c r="G52" s="118"/>
      <c r="H52" s="12">
        <f>+F52+B52</f>
        <v>0</v>
      </c>
      <c r="I52" s="14">
        <f t="shared" si="2"/>
        <v>0</v>
      </c>
    </row>
    <row r="53" spans="1:9" ht="12.75">
      <c r="A53" s="199" t="s">
        <v>138</v>
      </c>
      <c r="B53" s="193"/>
      <c r="C53" s="66"/>
      <c r="D53" s="115"/>
      <c r="E53" s="117"/>
      <c r="F53" s="116"/>
      <c r="G53" s="118"/>
      <c r="H53" s="12">
        <f>+B53+F53</f>
        <v>0</v>
      </c>
      <c r="I53" s="14">
        <f t="shared" si="2"/>
        <v>0</v>
      </c>
    </row>
    <row r="54" spans="1:9" ht="12.75">
      <c r="A54" s="199" t="s">
        <v>139</v>
      </c>
      <c r="B54" s="193"/>
      <c r="C54" s="66"/>
      <c r="D54" s="115"/>
      <c r="E54" s="117"/>
      <c r="F54" s="116"/>
      <c r="G54" s="118"/>
      <c r="H54" s="12"/>
      <c r="I54" s="14"/>
    </row>
    <row r="55" spans="1:9" ht="12.75">
      <c r="A55" s="199" t="s">
        <v>140</v>
      </c>
      <c r="B55" s="193"/>
      <c r="C55" s="66"/>
      <c r="D55" s="115"/>
      <c r="E55" s="117"/>
      <c r="F55" s="116"/>
      <c r="G55" s="118"/>
      <c r="H55" s="12"/>
      <c r="I55" s="14"/>
    </row>
    <row r="56" spans="1:9" ht="13.5" customHeight="1">
      <c r="A56" s="199" t="s">
        <v>84</v>
      </c>
      <c r="B56" s="193"/>
      <c r="C56" s="66"/>
      <c r="D56" s="115"/>
      <c r="E56" s="117"/>
      <c r="F56" s="116"/>
      <c r="G56" s="118"/>
      <c r="H56" s="12">
        <f>+B56+F56</f>
        <v>0</v>
      </c>
      <c r="I56" s="14">
        <f t="shared" si="2"/>
        <v>0</v>
      </c>
    </row>
    <row r="57" spans="1:9" ht="13.5" thickBot="1">
      <c r="A57" s="200"/>
      <c r="B57" s="202"/>
      <c r="C57" s="124"/>
      <c r="D57" s="125"/>
      <c r="E57" s="126"/>
      <c r="F57" s="123"/>
      <c r="G57" s="127"/>
      <c r="H57" s="12">
        <f>+B57+F57</f>
        <v>0</v>
      </c>
      <c r="I57" s="14">
        <f t="shared" si="2"/>
        <v>0</v>
      </c>
    </row>
    <row r="58" spans="1:9" ht="15.75" thickBot="1">
      <c r="A58" s="201" t="s">
        <v>23</v>
      </c>
      <c r="B58" s="195">
        <f>SUM(B49:B57)</f>
        <v>61</v>
      </c>
      <c r="C58" s="98">
        <f>IF(B58=0,0,SUMPRODUCT(B49:B57,C49:C57)/B58)</f>
        <v>10.6</v>
      </c>
      <c r="D58" s="97"/>
      <c r="E58" s="95">
        <f>IF(B58=0,0,SUMPRODUCT(B49:B57,C49:C57,E49:E57)/B58/C58)</f>
        <v>16</v>
      </c>
      <c r="F58" s="92">
        <f>SUM(F49:F57)</f>
        <v>130</v>
      </c>
      <c r="G58" s="98">
        <f>IF(F58=0,0,SUMPRODUCT(F49:F57,G49:G57)/F58)</f>
        <v>22.20769230769231</v>
      </c>
      <c r="H58" s="92">
        <f>SUM(H49:H57)</f>
        <v>191</v>
      </c>
      <c r="I58" s="96">
        <f>SUM(I49:I57)</f>
        <v>3534</v>
      </c>
    </row>
    <row r="59" spans="2:9" ht="12.75">
      <c r="B59" s="5"/>
      <c r="C59" s="5"/>
      <c r="E59" s="5"/>
      <c r="F59" s="5"/>
      <c r="H59" s="5"/>
      <c r="I59" s="5"/>
    </row>
    <row r="60" spans="2:9" ht="12.75">
      <c r="B60" s="5"/>
      <c r="C60" s="5"/>
      <c r="E60" s="5"/>
      <c r="F60" s="5"/>
      <c r="H60" s="5"/>
      <c r="I60" s="5"/>
    </row>
    <row r="61" ht="19.5">
      <c r="A61" s="103" t="s">
        <v>130</v>
      </c>
    </row>
    <row r="63" spans="1:5" ht="12.75">
      <c r="A63" s="43" t="s">
        <v>85</v>
      </c>
      <c r="D63" s="113">
        <v>2</v>
      </c>
      <c r="E63" t="s">
        <v>9</v>
      </c>
    </row>
    <row r="64" spans="1:5" ht="12.75">
      <c r="A64" s="43" t="s">
        <v>86</v>
      </c>
      <c r="D64" s="113">
        <f>ROUND(250/12,1)</f>
        <v>20.8</v>
      </c>
      <c r="E64" t="s">
        <v>40</v>
      </c>
    </row>
    <row r="65" spans="1:4" ht="12.75">
      <c r="A65" s="43" t="s">
        <v>87</v>
      </c>
      <c r="D65" s="128">
        <v>0.12</v>
      </c>
    </row>
    <row r="66" ht="12.75">
      <c r="A66" s="43"/>
    </row>
    <row r="67" ht="24.75">
      <c r="A67" s="102" t="s">
        <v>127</v>
      </c>
    </row>
    <row r="68" spans="1:8" ht="19.5">
      <c r="A68" s="103" t="s">
        <v>128</v>
      </c>
      <c r="F68" s="2"/>
      <c r="G68" s="212"/>
      <c r="H68" s="8"/>
    </row>
    <row r="70" spans="3:11" ht="12.75">
      <c r="C70" s="8"/>
      <c r="D70" s="8"/>
      <c r="E70" s="2"/>
      <c r="G70" s="213" t="s">
        <v>93</v>
      </c>
      <c r="I70" s="8"/>
      <c r="J70" s="2"/>
      <c r="K70" s="2"/>
    </row>
    <row r="71" spans="1:16" ht="15.75">
      <c r="A71" s="242" t="s">
        <v>89</v>
      </c>
      <c r="B71" s="243"/>
      <c r="C71" s="38" t="s">
        <v>77</v>
      </c>
      <c r="D71" s="38" t="s">
        <v>99</v>
      </c>
      <c r="E71" s="38" t="s">
        <v>90</v>
      </c>
      <c r="F71" s="192" t="s">
        <v>91</v>
      </c>
      <c r="G71" s="214" t="s">
        <v>92</v>
      </c>
      <c r="H71" s="211" t="s">
        <v>39</v>
      </c>
      <c r="I71" s="38" t="s">
        <v>34</v>
      </c>
      <c r="N71" s="174">
        <v>1</v>
      </c>
      <c r="O71" s="174">
        <v>2</v>
      </c>
      <c r="P71" s="174">
        <v>3</v>
      </c>
    </row>
    <row r="72" spans="1:16" ht="15">
      <c r="A72" s="3" t="s">
        <v>56</v>
      </c>
      <c r="B72" s="45"/>
      <c r="C72" s="4">
        <f>H42</f>
        <v>130</v>
      </c>
      <c r="D72" s="66">
        <v>2</v>
      </c>
      <c r="E72" s="66">
        <v>2.3</v>
      </c>
      <c r="F72" s="61">
        <f>IF(D72&gt;0,ROUNDUP(+C72/E72/D72,0),0)</f>
        <v>29</v>
      </c>
      <c r="G72" s="66">
        <v>2</v>
      </c>
      <c r="H72" s="61">
        <f>+G72+F72</f>
        <v>31</v>
      </c>
      <c r="I72" s="66">
        <v>2</v>
      </c>
      <c r="K72" s="172">
        <f>+I72</f>
        <v>2</v>
      </c>
      <c r="L72" s="172">
        <f>+G72+F72</f>
        <v>31</v>
      </c>
      <c r="N72">
        <f aca="true" t="shared" si="3" ref="N72:P74">IF($K72=N$81,$L72,0)</f>
        <v>0</v>
      </c>
      <c r="O72">
        <f t="shared" si="3"/>
        <v>31</v>
      </c>
      <c r="P72">
        <f t="shared" si="3"/>
        <v>0</v>
      </c>
    </row>
    <row r="73" spans="1:16" ht="15">
      <c r="A73" s="3" t="s">
        <v>84</v>
      </c>
      <c r="B73" s="45"/>
      <c r="C73" s="4">
        <f>H43</f>
        <v>0</v>
      </c>
      <c r="D73" s="66"/>
      <c r="E73" s="66"/>
      <c r="F73" s="61">
        <f>IF(D73&gt;0,ROUNDUP(+C73/E73/D73,0),0)</f>
        <v>0</v>
      </c>
      <c r="G73" s="66"/>
      <c r="H73" s="61">
        <f>+G73+F73</f>
        <v>0</v>
      </c>
      <c r="I73" s="66">
        <v>1</v>
      </c>
      <c r="K73" s="172">
        <f>+I73</f>
        <v>1</v>
      </c>
      <c r="L73" s="172">
        <f>+G73+F73</f>
        <v>0</v>
      </c>
      <c r="N73">
        <f t="shared" si="3"/>
        <v>0</v>
      </c>
      <c r="O73">
        <f t="shared" si="3"/>
        <v>0</v>
      </c>
      <c r="P73">
        <f t="shared" si="3"/>
        <v>0</v>
      </c>
    </row>
    <row r="74" spans="1:16" ht="15">
      <c r="A74" s="107">
        <f>IF(+A44=0,"",A44)</f>
      </c>
      <c r="B74" s="108"/>
      <c r="C74" s="4">
        <f>H44</f>
        <v>0</v>
      </c>
      <c r="D74" s="66"/>
      <c r="E74" s="66"/>
      <c r="F74" s="61">
        <f>IF(D74&gt;0,ROUNDUP(+C74/E74/D74,0),0)</f>
        <v>0</v>
      </c>
      <c r="G74" s="66"/>
      <c r="H74" s="61">
        <f>+G74+F74</f>
        <v>0</v>
      </c>
      <c r="I74" s="66"/>
      <c r="K74" s="172">
        <f>+I74</f>
        <v>0</v>
      </c>
      <c r="L74" s="172">
        <f>+G74+F74</f>
        <v>0</v>
      </c>
      <c r="N74" s="174">
        <f t="shared" si="3"/>
        <v>0</v>
      </c>
      <c r="O74" s="174">
        <f t="shared" si="3"/>
        <v>0</v>
      </c>
      <c r="P74" s="174">
        <f t="shared" si="3"/>
        <v>0</v>
      </c>
    </row>
    <row r="75" spans="8:16" ht="12.75">
      <c r="H75" s="5" t="s">
        <v>48</v>
      </c>
      <c r="K75" s="172"/>
      <c r="L75" s="172"/>
      <c r="N75">
        <f>MAX(N72:N74)</f>
        <v>0</v>
      </c>
      <c r="O75">
        <f>MAX(O72:O74)</f>
        <v>31</v>
      </c>
      <c r="P75">
        <f>MAX(P72:P74)</f>
        <v>0</v>
      </c>
    </row>
    <row r="76" spans="8:12" ht="12.75">
      <c r="H76" s="62">
        <f>SUM(N75:R75)</f>
        <v>31</v>
      </c>
      <c r="K76" s="172"/>
      <c r="L76" s="172"/>
    </row>
    <row r="77" spans="8:12" ht="12.75">
      <c r="H77" s="215"/>
      <c r="K77" s="172"/>
      <c r="L77" s="172"/>
    </row>
    <row r="78" spans="8:12" ht="12.75">
      <c r="H78" s="215"/>
      <c r="K78" s="172"/>
      <c r="L78" s="172"/>
    </row>
    <row r="79" spans="11:12" ht="12.75">
      <c r="K79" s="172"/>
      <c r="L79" s="172"/>
    </row>
    <row r="80" ht="12.75">
      <c r="G80" s="216" t="s">
        <v>95</v>
      </c>
    </row>
    <row r="81" spans="1:20" ht="15.75">
      <c r="A81" s="242" t="s">
        <v>94</v>
      </c>
      <c r="B81" s="287"/>
      <c r="C81" s="38" t="s">
        <v>77</v>
      </c>
      <c r="D81" s="38" t="s">
        <v>99</v>
      </c>
      <c r="E81" s="38" t="s">
        <v>90</v>
      </c>
      <c r="F81" s="109" t="s">
        <v>91</v>
      </c>
      <c r="G81" s="217" t="s">
        <v>92</v>
      </c>
      <c r="H81" s="192" t="s">
        <v>39</v>
      </c>
      <c r="I81" s="38" t="s">
        <v>34</v>
      </c>
      <c r="N81" s="174">
        <v>1</v>
      </c>
      <c r="O81" s="174">
        <v>2</v>
      </c>
      <c r="P81" s="174">
        <v>3</v>
      </c>
      <c r="Q81" s="174">
        <v>4</v>
      </c>
      <c r="R81" s="174">
        <v>5</v>
      </c>
      <c r="S81" s="174">
        <v>6</v>
      </c>
      <c r="T81" s="174">
        <v>7</v>
      </c>
    </row>
    <row r="82" spans="1:20" ht="15">
      <c r="A82" s="3" t="s">
        <v>55</v>
      </c>
      <c r="B82" s="45"/>
      <c r="C82" s="4">
        <f>+H49</f>
        <v>70</v>
      </c>
      <c r="D82" s="66">
        <v>2</v>
      </c>
      <c r="E82" s="66">
        <v>2.3</v>
      </c>
      <c r="F82" s="61">
        <f aca="true" t="shared" si="4" ref="F82:F90">IF(D82&gt;0,ROUNDUP(+C82/E82/D82,0),0)</f>
        <v>16</v>
      </c>
      <c r="G82" s="66">
        <v>2</v>
      </c>
      <c r="H82" s="61">
        <f>+G82+F82</f>
        <v>18</v>
      </c>
      <c r="I82" s="66">
        <v>1</v>
      </c>
      <c r="K82" s="172">
        <f aca="true" t="shared" si="5" ref="K82:K90">+I82</f>
        <v>1</v>
      </c>
      <c r="L82" s="172">
        <f aca="true" t="shared" si="6" ref="L82:L90">+G82+F82</f>
        <v>18</v>
      </c>
      <c r="N82">
        <f aca="true" t="shared" si="7" ref="N82:N90">IF($K82=N$81,$L82,0)</f>
        <v>18</v>
      </c>
      <c r="O82">
        <f aca="true" t="shared" si="8" ref="O82:T90">IF($K82=O$81,$L82,0)</f>
        <v>0</v>
      </c>
      <c r="P82">
        <f t="shared" si="8"/>
        <v>0</v>
      </c>
      <c r="Q82">
        <f t="shared" si="8"/>
        <v>0</v>
      </c>
      <c r="R82">
        <f t="shared" si="8"/>
        <v>0</v>
      </c>
      <c r="S82">
        <f t="shared" si="8"/>
        <v>0</v>
      </c>
      <c r="T82">
        <f t="shared" si="8"/>
        <v>0</v>
      </c>
    </row>
    <row r="83" spans="1:20" ht="15">
      <c r="A83" s="3" t="s">
        <v>57</v>
      </c>
      <c r="B83" s="45"/>
      <c r="C83" s="4">
        <f aca="true" t="shared" si="9" ref="C83:C90">H50</f>
        <v>60</v>
      </c>
      <c r="D83" s="66">
        <v>2</v>
      </c>
      <c r="E83" s="66">
        <v>1.8</v>
      </c>
      <c r="F83" s="61">
        <f t="shared" si="4"/>
        <v>17</v>
      </c>
      <c r="G83" s="66">
        <v>1</v>
      </c>
      <c r="H83" s="61">
        <f aca="true" t="shared" si="10" ref="H83:H90">+G83+F83</f>
        <v>18</v>
      </c>
      <c r="I83" s="66">
        <v>2</v>
      </c>
      <c r="K83" s="172">
        <f t="shared" si="5"/>
        <v>2</v>
      </c>
      <c r="L83" s="172">
        <f t="shared" si="6"/>
        <v>18</v>
      </c>
      <c r="N83">
        <f t="shared" si="7"/>
        <v>0</v>
      </c>
      <c r="O83">
        <f t="shared" si="8"/>
        <v>18</v>
      </c>
      <c r="P83">
        <f t="shared" si="8"/>
        <v>0</v>
      </c>
      <c r="Q83">
        <f t="shared" si="8"/>
        <v>0</v>
      </c>
      <c r="R83">
        <f t="shared" si="8"/>
        <v>0</v>
      </c>
      <c r="S83">
        <f t="shared" si="8"/>
        <v>0</v>
      </c>
      <c r="T83">
        <f t="shared" si="8"/>
        <v>0</v>
      </c>
    </row>
    <row r="84" spans="1:20" ht="15">
      <c r="A84" s="3" t="s">
        <v>6</v>
      </c>
      <c r="B84" s="45"/>
      <c r="C84" s="4">
        <f t="shared" si="9"/>
        <v>61</v>
      </c>
      <c r="D84" s="66">
        <v>2</v>
      </c>
      <c r="E84" s="66">
        <v>0.9</v>
      </c>
      <c r="F84" s="61">
        <f t="shared" si="4"/>
        <v>34</v>
      </c>
      <c r="G84" s="66">
        <v>2</v>
      </c>
      <c r="H84" s="61">
        <f t="shared" si="10"/>
        <v>36</v>
      </c>
      <c r="I84" s="66">
        <v>2</v>
      </c>
      <c r="K84" s="172">
        <f t="shared" si="5"/>
        <v>2</v>
      </c>
      <c r="L84" s="172">
        <f t="shared" si="6"/>
        <v>36</v>
      </c>
      <c r="N84">
        <f t="shared" si="7"/>
        <v>0</v>
      </c>
      <c r="O84">
        <f t="shared" si="8"/>
        <v>36</v>
      </c>
      <c r="P84">
        <f t="shared" si="8"/>
        <v>0</v>
      </c>
      <c r="Q84">
        <f t="shared" si="8"/>
        <v>0</v>
      </c>
      <c r="R84">
        <f t="shared" si="8"/>
        <v>0</v>
      </c>
      <c r="S84">
        <f t="shared" si="8"/>
        <v>0</v>
      </c>
      <c r="T84">
        <f t="shared" si="8"/>
        <v>0</v>
      </c>
    </row>
    <row r="85" spans="1:20" ht="15">
      <c r="A85" s="3" t="s">
        <v>183</v>
      </c>
      <c r="B85" s="45"/>
      <c r="C85" s="4">
        <f t="shared" si="9"/>
        <v>0</v>
      </c>
      <c r="D85" s="66"/>
      <c r="E85" s="66"/>
      <c r="F85" s="61">
        <f t="shared" si="4"/>
        <v>0</v>
      </c>
      <c r="G85" s="66"/>
      <c r="H85" s="61">
        <f t="shared" si="10"/>
        <v>0</v>
      </c>
      <c r="I85" s="66"/>
      <c r="K85" s="172">
        <f t="shared" si="5"/>
        <v>0</v>
      </c>
      <c r="L85" s="172">
        <f t="shared" si="6"/>
        <v>0</v>
      </c>
      <c r="N85">
        <f t="shared" si="7"/>
        <v>0</v>
      </c>
      <c r="O85">
        <f t="shared" si="8"/>
        <v>0</v>
      </c>
      <c r="P85">
        <f t="shared" si="8"/>
        <v>0</v>
      </c>
      <c r="Q85">
        <f t="shared" si="8"/>
        <v>0</v>
      </c>
      <c r="R85">
        <f t="shared" si="8"/>
        <v>0</v>
      </c>
      <c r="S85">
        <f t="shared" si="8"/>
        <v>0</v>
      </c>
      <c r="T85">
        <f t="shared" si="8"/>
        <v>0</v>
      </c>
    </row>
    <row r="86" spans="1:20" ht="15">
      <c r="A86" s="3" t="s">
        <v>138</v>
      </c>
      <c r="B86" s="45"/>
      <c r="C86" s="4">
        <f t="shared" si="9"/>
        <v>0</v>
      </c>
      <c r="D86" s="66"/>
      <c r="E86" s="66"/>
      <c r="F86" s="61">
        <f t="shared" si="4"/>
        <v>0</v>
      </c>
      <c r="G86" s="66"/>
      <c r="H86" s="61">
        <f t="shared" si="10"/>
        <v>0</v>
      </c>
      <c r="I86" s="66"/>
      <c r="K86" s="172">
        <f t="shared" si="5"/>
        <v>0</v>
      </c>
      <c r="L86" s="172">
        <f t="shared" si="6"/>
        <v>0</v>
      </c>
      <c r="N86">
        <f t="shared" si="7"/>
        <v>0</v>
      </c>
      <c r="O86">
        <f t="shared" si="8"/>
        <v>0</v>
      </c>
      <c r="P86">
        <f t="shared" si="8"/>
        <v>0</v>
      </c>
      <c r="Q86">
        <f t="shared" si="8"/>
        <v>0</v>
      </c>
      <c r="R86">
        <f t="shared" si="8"/>
        <v>0</v>
      </c>
      <c r="S86">
        <f t="shared" si="8"/>
        <v>0</v>
      </c>
      <c r="T86">
        <f t="shared" si="8"/>
        <v>0</v>
      </c>
    </row>
    <row r="87" spans="1:20" ht="15">
      <c r="A87" s="3" t="s">
        <v>139</v>
      </c>
      <c r="B87" s="45"/>
      <c r="C87" s="4">
        <f t="shared" si="9"/>
        <v>0</v>
      </c>
      <c r="D87" s="66"/>
      <c r="E87" s="66"/>
      <c r="F87" s="61">
        <f t="shared" si="4"/>
        <v>0</v>
      </c>
      <c r="G87" s="66"/>
      <c r="H87" s="61">
        <f t="shared" si="10"/>
        <v>0</v>
      </c>
      <c r="I87" s="66"/>
      <c r="K87" s="172">
        <f>+I87</f>
        <v>0</v>
      </c>
      <c r="L87" s="172">
        <f>+G87+F87</f>
        <v>0</v>
      </c>
      <c r="N87">
        <f t="shared" si="7"/>
        <v>0</v>
      </c>
      <c r="O87">
        <f t="shared" si="8"/>
        <v>0</v>
      </c>
      <c r="P87">
        <f t="shared" si="8"/>
        <v>0</v>
      </c>
      <c r="Q87">
        <f t="shared" si="8"/>
        <v>0</v>
      </c>
      <c r="R87">
        <f t="shared" si="8"/>
        <v>0</v>
      </c>
      <c r="S87">
        <f t="shared" si="8"/>
        <v>0</v>
      </c>
      <c r="T87">
        <f t="shared" si="8"/>
        <v>0</v>
      </c>
    </row>
    <row r="88" spans="1:20" ht="15">
      <c r="A88" s="3" t="s">
        <v>140</v>
      </c>
      <c r="B88" s="45"/>
      <c r="C88" s="4">
        <f t="shared" si="9"/>
        <v>0</v>
      </c>
      <c r="D88" s="66"/>
      <c r="E88" s="66"/>
      <c r="F88" s="61">
        <f t="shared" si="4"/>
        <v>0</v>
      </c>
      <c r="G88" s="66"/>
      <c r="H88" s="61">
        <f t="shared" si="10"/>
        <v>0</v>
      </c>
      <c r="I88" s="66"/>
      <c r="K88" s="172">
        <f>+I88</f>
        <v>0</v>
      </c>
      <c r="L88" s="172">
        <f>+G88+F88</f>
        <v>0</v>
      </c>
      <c r="N88">
        <f t="shared" si="7"/>
        <v>0</v>
      </c>
      <c r="O88">
        <f t="shared" si="8"/>
        <v>0</v>
      </c>
      <c r="P88">
        <f t="shared" si="8"/>
        <v>0</v>
      </c>
      <c r="Q88">
        <f t="shared" si="8"/>
        <v>0</v>
      </c>
      <c r="R88">
        <f t="shared" si="8"/>
        <v>0</v>
      </c>
      <c r="S88">
        <f t="shared" si="8"/>
        <v>0</v>
      </c>
      <c r="T88">
        <f t="shared" si="8"/>
        <v>0</v>
      </c>
    </row>
    <row r="89" spans="1:20" ht="15">
      <c r="A89" s="3" t="s">
        <v>84</v>
      </c>
      <c r="B89" s="45"/>
      <c r="C89" s="4">
        <f t="shared" si="9"/>
        <v>0</v>
      </c>
      <c r="D89" s="66"/>
      <c r="E89" s="66"/>
      <c r="F89" s="61">
        <f t="shared" si="4"/>
        <v>0</v>
      </c>
      <c r="G89" s="66"/>
      <c r="H89" s="61">
        <f t="shared" si="10"/>
        <v>0</v>
      </c>
      <c r="I89" s="66"/>
      <c r="K89" s="172">
        <f t="shared" si="5"/>
        <v>0</v>
      </c>
      <c r="L89" s="172">
        <f t="shared" si="6"/>
        <v>0</v>
      </c>
      <c r="N89">
        <f t="shared" si="7"/>
        <v>0</v>
      </c>
      <c r="O89">
        <f t="shared" si="8"/>
        <v>0</v>
      </c>
      <c r="P89">
        <f t="shared" si="8"/>
        <v>0</v>
      </c>
      <c r="Q89">
        <f t="shared" si="8"/>
        <v>0</v>
      </c>
      <c r="R89">
        <f t="shared" si="8"/>
        <v>0</v>
      </c>
      <c r="S89">
        <f t="shared" si="8"/>
        <v>0</v>
      </c>
      <c r="T89">
        <f t="shared" si="8"/>
        <v>0</v>
      </c>
    </row>
    <row r="90" spans="1:20" ht="15">
      <c r="A90" s="107">
        <f>IF(+A57=0,"",A57)</f>
      </c>
      <c r="B90" s="108"/>
      <c r="C90" s="4">
        <f t="shared" si="9"/>
        <v>0</v>
      </c>
      <c r="D90" s="66"/>
      <c r="E90" s="66"/>
      <c r="F90" s="61">
        <f t="shared" si="4"/>
        <v>0</v>
      </c>
      <c r="G90" s="66"/>
      <c r="H90" s="61">
        <f t="shared" si="10"/>
        <v>0</v>
      </c>
      <c r="I90" s="66"/>
      <c r="K90" s="172">
        <f t="shared" si="5"/>
        <v>0</v>
      </c>
      <c r="L90" s="172">
        <f t="shared" si="6"/>
        <v>0</v>
      </c>
      <c r="N90" s="174">
        <f t="shared" si="7"/>
        <v>0</v>
      </c>
      <c r="O90" s="174">
        <f t="shared" si="8"/>
        <v>0</v>
      </c>
      <c r="P90" s="174">
        <f t="shared" si="8"/>
        <v>0</v>
      </c>
      <c r="Q90" s="174">
        <f t="shared" si="8"/>
        <v>0</v>
      </c>
      <c r="R90" s="174">
        <f t="shared" si="8"/>
        <v>0</v>
      </c>
      <c r="S90" s="174">
        <f t="shared" si="8"/>
        <v>0</v>
      </c>
      <c r="T90" s="174">
        <f t="shared" si="8"/>
        <v>0</v>
      </c>
    </row>
    <row r="91" spans="3:20" ht="12.75">
      <c r="C91" s="8"/>
      <c r="D91" s="8"/>
      <c r="E91" s="2"/>
      <c r="F91" s="2"/>
      <c r="H91" s="5" t="s">
        <v>48</v>
      </c>
      <c r="I91" s="8"/>
      <c r="J91" s="2"/>
      <c r="K91" s="2"/>
      <c r="N91">
        <f>MAX(N82:N90)</f>
        <v>18</v>
      </c>
      <c r="O91">
        <f aca="true" t="shared" si="11" ref="O91:T91">MAX(O82:O90)</f>
        <v>36</v>
      </c>
      <c r="P91">
        <f t="shared" si="11"/>
        <v>0</v>
      </c>
      <c r="Q91">
        <f t="shared" si="11"/>
        <v>0</v>
      </c>
      <c r="R91">
        <f t="shared" si="11"/>
        <v>0</v>
      </c>
      <c r="S91">
        <f t="shared" si="11"/>
        <v>0</v>
      </c>
      <c r="T91">
        <f t="shared" si="11"/>
        <v>0</v>
      </c>
    </row>
    <row r="92" spans="3:11" ht="12.75">
      <c r="C92" s="8"/>
      <c r="D92" s="8"/>
      <c r="E92" s="2"/>
      <c r="F92" s="2"/>
      <c r="H92" s="62">
        <f>SUM(N91:T91)</f>
        <v>54</v>
      </c>
      <c r="I92" s="8"/>
      <c r="J92" s="2"/>
      <c r="K92" s="2"/>
    </row>
    <row r="93" spans="3:11" ht="12.75">
      <c r="C93" s="8"/>
      <c r="D93" s="8"/>
      <c r="E93" s="2"/>
      <c r="F93" s="2"/>
      <c r="H93" s="8"/>
      <c r="I93" s="8"/>
      <c r="J93" s="2"/>
      <c r="K93" s="2"/>
    </row>
    <row r="94" ht="15" customHeight="1" thickBot="1"/>
    <row r="95" spans="4:9" ht="18.75" customHeight="1" thickBot="1">
      <c r="D95" s="203" t="s">
        <v>141</v>
      </c>
      <c r="E95" s="204" t="s">
        <v>142</v>
      </c>
      <c r="F95" s="75" t="s">
        <v>13</v>
      </c>
      <c r="H95" s="269" t="s">
        <v>97</v>
      </c>
      <c r="I95" s="270"/>
    </row>
    <row r="96" spans="1:9" ht="16.5" customHeight="1">
      <c r="A96" s="262" t="s">
        <v>94</v>
      </c>
      <c r="B96" s="263"/>
      <c r="C96" s="264"/>
      <c r="D96" s="169">
        <f>$H$92</f>
        <v>54</v>
      </c>
      <c r="E96" s="4">
        <f>+D96*D65</f>
        <v>6.4799999999999995</v>
      </c>
      <c r="F96" s="205">
        <f>+E96+D96</f>
        <v>60.48</v>
      </c>
      <c r="G96" s="209" t="s">
        <v>40</v>
      </c>
      <c r="H96" s="271" t="s">
        <v>98</v>
      </c>
      <c r="I96" s="272"/>
    </row>
    <row r="97" spans="1:9" ht="16.5" thickBot="1">
      <c r="A97" s="265" t="s">
        <v>89</v>
      </c>
      <c r="B97" s="266"/>
      <c r="C97" s="267"/>
      <c r="D97" s="208">
        <f>$H$76</f>
        <v>31</v>
      </c>
      <c r="E97" s="206">
        <f>+D65*D97</f>
        <v>3.7199999999999998</v>
      </c>
      <c r="F97" s="207">
        <f>+E97+D97</f>
        <v>34.72</v>
      </c>
      <c r="G97" s="209" t="s">
        <v>40</v>
      </c>
      <c r="H97" s="238">
        <f>ROUND(MAX(F96:F97),0)</f>
        <v>60</v>
      </c>
      <c r="I97" s="268"/>
    </row>
    <row r="99" spans="2:9" ht="12.75">
      <c r="B99" s="5"/>
      <c r="C99" s="5"/>
      <c r="E99" s="5"/>
      <c r="F99" s="5"/>
      <c r="H99" s="5"/>
      <c r="I99" s="5"/>
    </row>
    <row r="100" spans="1:9" ht="24.75">
      <c r="A100" s="102" t="s">
        <v>25</v>
      </c>
      <c r="B100" s="5"/>
      <c r="C100" s="5"/>
      <c r="E100" s="5"/>
      <c r="F100" s="5"/>
      <c r="H100" s="5"/>
      <c r="I100" s="5"/>
    </row>
    <row r="102" ht="19.5">
      <c r="A102" s="59" t="s">
        <v>100</v>
      </c>
    </row>
    <row r="105" spans="1:5" ht="15">
      <c r="A105" s="100" t="s">
        <v>101</v>
      </c>
      <c r="D105" s="129">
        <v>30</v>
      </c>
      <c r="E105" t="s">
        <v>102</v>
      </c>
    </row>
    <row r="106" spans="1:5" ht="15">
      <c r="A106" s="100" t="s">
        <v>143</v>
      </c>
      <c r="D106" s="49">
        <v>2</v>
      </c>
      <c r="E106" t="s">
        <v>8</v>
      </c>
    </row>
    <row r="107" spans="1:5" ht="15">
      <c r="A107" s="100" t="s">
        <v>85</v>
      </c>
      <c r="D107" s="49">
        <v>2</v>
      </c>
      <c r="E107" t="s">
        <v>9</v>
      </c>
    </row>
    <row r="108" spans="1:5" ht="15">
      <c r="A108" s="100" t="s">
        <v>86</v>
      </c>
      <c r="D108" s="129">
        <f>250/12</f>
        <v>20.833333333333332</v>
      </c>
      <c r="E108" t="s">
        <v>40</v>
      </c>
    </row>
    <row r="109" spans="1:5" ht="15">
      <c r="A109" s="100" t="s">
        <v>144</v>
      </c>
      <c r="D109" s="49">
        <v>365</v>
      </c>
      <c r="E109" t="s">
        <v>40</v>
      </c>
    </row>
    <row r="112" ht="19.5">
      <c r="A112" s="59" t="s">
        <v>26</v>
      </c>
    </row>
    <row r="114" spans="1:9" ht="12.75">
      <c r="A114" s="1" t="s">
        <v>180</v>
      </c>
      <c r="D114" s="41">
        <f>+D105*D106*D107</f>
        <v>120</v>
      </c>
      <c r="E114" t="s">
        <v>0</v>
      </c>
      <c r="F114" s="244" t="s">
        <v>58</v>
      </c>
      <c r="G114" s="236"/>
      <c r="H114" s="236"/>
      <c r="I114" s="237"/>
    </row>
    <row r="115" spans="1:9" ht="12.75">
      <c r="A115" s="1" t="s">
        <v>197</v>
      </c>
      <c r="D115" s="41">
        <f>+D114*(I9-1)</f>
        <v>45.59999999999999</v>
      </c>
      <c r="E115" t="s">
        <v>0</v>
      </c>
      <c r="F115" s="136">
        <f>ROUND(+A14/D105/D106/D107,0)</f>
        <v>146</v>
      </c>
      <c r="G115" s="2" t="s">
        <v>40</v>
      </c>
      <c r="H115" s="50">
        <f>+F115/D108</f>
        <v>7.008</v>
      </c>
      <c r="I115" s="2" t="s">
        <v>10</v>
      </c>
    </row>
    <row r="117" spans="1:5" ht="12.75">
      <c r="A117" s="1" t="s">
        <v>103</v>
      </c>
      <c r="D117" s="41">
        <f>+C14-F115*D115</f>
        <v>12583.312697978232</v>
      </c>
      <c r="E117" t="s">
        <v>0</v>
      </c>
    </row>
    <row r="118" spans="1:5" ht="12.75">
      <c r="A118" s="221" t="s">
        <v>184</v>
      </c>
      <c r="C118" s="2"/>
      <c r="D118" s="130">
        <v>270</v>
      </c>
      <c r="E118" s="80" t="s">
        <v>0</v>
      </c>
    </row>
    <row r="119" spans="1:9" ht="12.75">
      <c r="A119" s="222" t="s">
        <v>146</v>
      </c>
      <c r="B119" s="132"/>
      <c r="C119" s="133"/>
      <c r="D119" s="134">
        <f>+D117-D118</f>
        <v>12313.312697978232</v>
      </c>
      <c r="E119" s="10" t="s">
        <v>0</v>
      </c>
      <c r="F119" s="244" t="s">
        <v>104</v>
      </c>
      <c r="G119" s="236"/>
      <c r="H119" s="236"/>
      <c r="I119" s="237"/>
    </row>
    <row r="120" spans="1:9" ht="12.75">
      <c r="A120" s="101" t="s">
        <v>203</v>
      </c>
      <c r="B120" s="10"/>
      <c r="C120" s="10"/>
      <c r="D120" s="135">
        <v>300</v>
      </c>
      <c r="E120" s="10" t="s">
        <v>11</v>
      </c>
      <c r="F120" s="136">
        <f>ROUND(D119/D120/D107,0)</f>
        <v>21</v>
      </c>
      <c r="G120" s="2" t="s">
        <v>40</v>
      </c>
      <c r="H120" s="50">
        <f>+F120/D108</f>
        <v>1.008</v>
      </c>
      <c r="I120" s="2" t="s">
        <v>10</v>
      </c>
    </row>
    <row r="122" ht="12.75">
      <c r="H122" s="37"/>
    </row>
    <row r="123" ht="19.5">
      <c r="A123" s="59" t="s">
        <v>38</v>
      </c>
    </row>
    <row r="125" ht="12.75">
      <c r="A125" s="1" t="s">
        <v>193</v>
      </c>
    </row>
    <row r="126" ht="12.75">
      <c r="A126" s="1" t="s">
        <v>181</v>
      </c>
    </row>
    <row r="127" ht="12.75">
      <c r="A127" s="1" t="str">
        <f>CONCATENATE("En supposant que tous les chantiers ont la même configuration, le temps de production de ",F115,"  jours divisé par le temps de déblayage final de ",F120," jours vous")</f>
        <v>En supposant que tous les chantiers ont la même configuration, le temps de production de 146  jours divisé par le temps de déblayage final de 21 jours vous</v>
      </c>
    </row>
    <row r="128" spans="1:9" ht="12.75">
      <c r="A128" s="1" t="s">
        <v>147</v>
      </c>
      <c r="H128" s="60">
        <f>ROUND(+H115/H120,2)</f>
        <v>6.95</v>
      </c>
      <c r="I128" t="s">
        <v>177</v>
      </c>
    </row>
    <row r="129" ht="12.75">
      <c r="A129" s="1" t="s">
        <v>178</v>
      </c>
    </row>
    <row r="130" ht="12.75">
      <c r="A130" s="1" t="str">
        <f>CONCATENATE("Ce qui signifie que la production sera optimale si ",H128," chantiers sont actifs pour chaque chantier en phase de déblayage final.")</f>
        <v>Ce qui signifie que la production sera optimale si 6.95 chantiers sont actifs pour chaque chantier en phase de déblayage final.</v>
      </c>
    </row>
    <row r="131" spans="1:9" ht="30" customHeight="1">
      <c r="A131" s="53"/>
      <c r="B131" s="53"/>
      <c r="C131" s="53"/>
      <c r="D131" s="53"/>
      <c r="F131" s="53"/>
      <c r="G131" s="53"/>
      <c r="H131" s="223"/>
      <c r="I131" s="224"/>
    </row>
    <row r="132" spans="1:9" ht="30" customHeight="1">
      <c r="A132" s="53"/>
      <c r="B132" s="53"/>
      <c r="C132" s="53"/>
      <c r="D132" s="53"/>
      <c r="E132" s="226" t="s">
        <v>145</v>
      </c>
      <c r="F132" s="53"/>
      <c r="G132" s="53"/>
      <c r="H132" s="285" t="s">
        <v>105</v>
      </c>
      <c r="I132" s="286"/>
    </row>
    <row r="133" spans="1:9" ht="15">
      <c r="A133" s="53" t="s">
        <v>190</v>
      </c>
      <c r="B133" s="53"/>
      <c r="C133" s="53"/>
      <c r="D133" s="155">
        <v>12</v>
      </c>
      <c r="E133" s="54">
        <f>ROUND(+D133*D115,0)</f>
        <v>547</v>
      </c>
      <c r="F133" s="53"/>
      <c r="G133" s="53"/>
      <c r="H133" s="274">
        <f>ROUND(E133*$D$108*12/D109,0)</f>
        <v>375</v>
      </c>
      <c r="I133" s="274"/>
    </row>
    <row r="134" spans="1:9" ht="15.75" thickBot="1">
      <c r="A134" s="53" t="s">
        <v>191</v>
      </c>
      <c r="B134" s="53"/>
      <c r="C134" s="53"/>
      <c r="D134" s="55">
        <f>+D133/H128</f>
        <v>1.7266187050359711</v>
      </c>
      <c r="E134" s="156">
        <f>ROUND(+D120*D107*D134,0)</f>
        <v>1036</v>
      </c>
      <c r="F134" s="53"/>
      <c r="G134" s="53"/>
      <c r="H134" s="275">
        <f>ROUND(E134*$D$108*12/D109,0)</f>
        <v>710</v>
      </c>
      <c r="I134" s="275"/>
    </row>
    <row r="135" spans="1:9" ht="15.75" customHeight="1" thickBot="1">
      <c r="A135" s="53"/>
      <c r="B135" s="53"/>
      <c r="C135" s="53"/>
      <c r="D135" s="53"/>
      <c r="E135" s="157">
        <f>SUM(E133:E134)</f>
        <v>1583</v>
      </c>
      <c r="F135" s="53"/>
      <c r="G135" s="53"/>
      <c r="H135" s="278">
        <f>SUM(H133:H134)</f>
        <v>1085</v>
      </c>
      <c r="I135" s="279"/>
    </row>
    <row r="136" spans="2:9" ht="15.75">
      <c r="B136" s="53"/>
      <c r="C136" s="53"/>
      <c r="D136" s="53"/>
      <c r="E136" s="53"/>
      <c r="F136" s="53"/>
      <c r="G136" s="53"/>
      <c r="H136" s="53"/>
      <c r="I136" s="158"/>
    </row>
    <row r="137" ht="12.75">
      <c r="A137" s="42" t="s">
        <v>198</v>
      </c>
    </row>
    <row r="139" ht="19.5">
      <c r="A139" s="59" t="s">
        <v>131</v>
      </c>
    </row>
    <row r="141" ht="12.75">
      <c r="A141" s="1" t="s">
        <v>194</v>
      </c>
    </row>
    <row r="142" ht="12.75">
      <c r="A142" s="1" t="s">
        <v>149</v>
      </c>
    </row>
    <row r="143" ht="12.75">
      <c r="A143" s="1" t="str">
        <f>CONCATENATE("En supposant que tous les chantiers ont la même configuration, le temps de production de ",F115," jours divisé par le temps de développement de ",H97," jours ")</f>
        <v>En supposant que tous les chantiers ont la même configuration, le temps de production de 146 jours divisé par le temps de développement de 60 jours </v>
      </c>
    </row>
    <row r="144" spans="1:9" ht="12.75">
      <c r="A144" s="1" t="s">
        <v>148</v>
      </c>
      <c r="H144" s="60">
        <f>ROUND((F115)/H97,2)</f>
        <v>2.43</v>
      </c>
      <c r="I144" t="s">
        <v>45</v>
      </c>
    </row>
    <row r="145" ht="12.75">
      <c r="A145" s="1" t="str">
        <f>CONCATENATE("Ce qui signifie que la production sera optimale si ",H144," chantiers sont actifs pour chaque chantier en phase de développement.")</f>
        <v>Ce qui signifie que la production sera optimale si 2.43 chantiers sont actifs pour chaque chantier en phase de développement.</v>
      </c>
    </row>
    <row r="147" spans="1:9" ht="22.5" customHeight="1">
      <c r="A147" s="53"/>
      <c r="B147" s="53"/>
      <c r="C147" s="53"/>
      <c r="D147" s="53"/>
      <c r="E147" s="251" t="s">
        <v>157</v>
      </c>
      <c r="F147" s="53"/>
      <c r="G147" s="53"/>
      <c r="H147" s="253" t="s">
        <v>158</v>
      </c>
      <c r="I147" s="254"/>
    </row>
    <row r="148" spans="1:9" ht="22.5" customHeight="1">
      <c r="A148" s="53" t="s">
        <v>190</v>
      </c>
      <c r="B148" s="53"/>
      <c r="C148" s="53"/>
      <c r="D148" s="54">
        <f>+D133</f>
        <v>12</v>
      </c>
      <c r="E148" s="252"/>
      <c r="F148" s="53"/>
      <c r="G148" s="53"/>
      <c r="H148" s="255"/>
      <c r="I148" s="256"/>
    </row>
    <row r="149" spans="1:9" ht="15.75">
      <c r="A149" s="82" t="s">
        <v>192</v>
      </c>
      <c r="B149" s="53"/>
      <c r="C149" s="53"/>
      <c r="D149" s="84">
        <f>+D148/H144</f>
        <v>4.938271604938271</v>
      </c>
      <c r="E149" s="83">
        <f>ROUND((SUMPRODUCT(B42:B44,C42:C44)+SUMPRODUCT(B49:B57,C49:C57))*D149/H97,0)</f>
        <v>157</v>
      </c>
      <c r="F149" s="53"/>
      <c r="G149" s="53"/>
      <c r="H149" s="273">
        <f>ROUND(E149*$D$108*12/D109,0)</f>
        <v>108</v>
      </c>
      <c r="I149" s="273"/>
    </row>
    <row r="150" spans="1:7" ht="15">
      <c r="A150" s="53"/>
      <c r="B150" s="53"/>
      <c r="C150" s="53"/>
      <c r="D150" s="53"/>
      <c r="F150" s="53"/>
      <c r="G150" s="53"/>
    </row>
    <row r="151" ht="12.75">
      <c r="A151" s="42" t="s">
        <v>186</v>
      </c>
    </row>
    <row r="154" spans="1:9" ht="24.75">
      <c r="A154" s="102" t="s">
        <v>29</v>
      </c>
      <c r="B154" s="5"/>
      <c r="C154" s="5"/>
      <c r="E154" s="5"/>
      <c r="F154" s="5"/>
      <c r="H154" s="5"/>
      <c r="I154" s="5"/>
    </row>
    <row r="156" ht="19.5">
      <c r="A156" s="59" t="s">
        <v>132</v>
      </c>
    </row>
    <row r="157" ht="12.75">
      <c r="E157" s="5" t="s">
        <v>83</v>
      </c>
    </row>
    <row r="158" spans="1:5" ht="12.75">
      <c r="A158" s="10" t="s">
        <v>106</v>
      </c>
      <c r="E158" s="165">
        <f>+F222</f>
        <v>18473.528082593613</v>
      </c>
    </row>
    <row r="160" spans="2:5" ht="12.75">
      <c r="B160" s="5" t="s">
        <v>77</v>
      </c>
      <c r="C160" s="5" t="s">
        <v>72</v>
      </c>
      <c r="D160" s="5" t="s">
        <v>73</v>
      </c>
      <c r="E160" s="5" t="s">
        <v>83</v>
      </c>
    </row>
    <row r="161" spans="1:5" ht="12.75">
      <c r="A161" s="101" t="s">
        <v>150</v>
      </c>
      <c r="B161" s="113">
        <v>70</v>
      </c>
      <c r="C161" s="113">
        <v>2.6</v>
      </c>
      <c r="D161" s="113">
        <v>2.7</v>
      </c>
      <c r="E161" s="165">
        <f>B161*C161*D161*$H$9</f>
        <v>1425.06</v>
      </c>
    </row>
    <row r="162" spans="1:5" ht="12.75">
      <c r="A162" s="101" t="s">
        <v>30</v>
      </c>
      <c r="B162" s="113">
        <v>50</v>
      </c>
      <c r="C162" s="113">
        <v>3</v>
      </c>
      <c r="D162" s="113">
        <v>2.7</v>
      </c>
      <c r="E162" s="165">
        <f>B162*C162*D162*$H$9</f>
        <v>1174.5</v>
      </c>
    </row>
    <row r="163" spans="1:5" ht="12.75">
      <c r="A163" s="233" t="s">
        <v>31</v>
      </c>
      <c r="B163" s="113"/>
      <c r="C163" s="113"/>
      <c r="D163" s="113"/>
      <c r="E163" s="165">
        <f>B163*C163*D163*$H$9</f>
        <v>0</v>
      </c>
    </row>
    <row r="164" ht="13.5" thickBot="1"/>
    <row r="165" spans="4:9" ht="13.5" thickBot="1">
      <c r="D165" s="172" t="s">
        <v>107</v>
      </c>
      <c r="E165" s="166">
        <f>SUM(E158:E162)</f>
        <v>21073.088082593615</v>
      </c>
      <c r="G165" s="168" t="s">
        <v>151</v>
      </c>
      <c r="H165" s="167">
        <f>+E165/H9</f>
        <v>7266.582097446074</v>
      </c>
      <c r="I165" t="s">
        <v>108</v>
      </c>
    </row>
    <row r="168" ht="19.5">
      <c r="A168" s="59" t="s">
        <v>133</v>
      </c>
    </row>
    <row r="169" spans="4:9" ht="12.75">
      <c r="D169" s="240" t="s">
        <v>110</v>
      </c>
      <c r="E169" s="240"/>
      <c r="F169" s="240" t="s">
        <v>111</v>
      </c>
      <c r="G169" s="240"/>
      <c r="H169" s="280" t="s">
        <v>112</v>
      </c>
      <c r="I169" s="281"/>
    </row>
    <row r="170" spans="1:9" ht="12.75">
      <c r="A170" s="10" t="s">
        <v>109</v>
      </c>
      <c r="D170" s="241">
        <v>8</v>
      </c>
      <c r="E170" s="241"/>
      <c r="F170" s="241">
        <v>5</v>
      </c>
      <c r="G170" s="241"/>
      <c r="H170" s="282">
        <f>+F170*D170</f>
        <v>40</v>
      </c>
      <c r="I170" s="283"/>
    </row>
    <row r="172" spans="1:7" ht="12.75">
      <c r="A172" s="10" t="s">
        <v>152</v>
      </c>
      <c r="C172" t="s">
        <v>134</v>
      </c>
      <c r="F172" s="113">
        <v>125</v>
      </c>
      <c r="G172" t="s">
        <v>50</v>
      </c>
    </row>
    <row r="173" spans="1:8" ht="12.75">
      <c r="A173" s="10"/>
      <c r="C173" t="s">
        <v>188</v>
      </c>
      <c r="F173" s="113">
        <f>2.9*0.67</f>
        <v>1.943</v>
      </c>
      <c r="G173" t="s">
        <v>51</v>
      </c>
      <c r="H173" s="225"/>
    </row>
    <row r="174" spans="3:7" ht="12.75">
      <c r="C174" t="s">
        <v>32</v>
      </c>
      <c r="F174" s="113">
        <v>6.5</v>
      </c>
      <c r="G174" t="s">
        <v>113</v>
      </c>
    </row>
    <row r="175" spans="3:9" ht="12.75">
      <c r="C175" t="s">
        <v>49</v>
      </c>
      <c r="F175" s="41">
        <f>IF(F172=0,0,IF(F174=0,0,H165/F172*F173/F174))</f>
        <v>17.37719263426181</v>
      </c>
      <c r="G175" s="209" t="s">
        <v>9</v>
      </c>
      <c r="H175" s="280" t="s">
        <v>112</v>
      </c>
      <c r="I175" s="281"/>
    </row>
    <row r="176" spans="3:9" ht="12.75">
      <c r="C176" t="s">
        <v>85</v>
      </c>
      <c r="F176" s="130">
        <v>2</v>
      </c>
      <c r="G176" t="s">
        <v>114</v>
      </c>
      <c r="H176" s="284">
        <f>IF(F176=0,0,+F175/F176)</f>
        <v>8.688596317130905</v>
      </c>
      <c r="I176" s="281"/>
    </row>
    <row r="178" spans="1:4" ht="15">
      <c r="A178" s="52" t="s">
        <v>153</v>
      </c>
      <c r="C178" s="170">
        <f>+H170+H176</f>
        <v>48.6885963171309</v>
      </c>
      <c r="D178" s="10" t="s">
        <v>40</v>
      </c>
    </row>
    <row r="179" ht="12.75">
      <c r="C179" s="5" t="s">
        <v>33</v>
      </c>
    </row>
    <row r="180" spans="3:5" ht="12.75">
      <c r="C180" s="171">
        <f>+C178/D64</f>
        <v>2.3407978998620624</v>
      </c>
      <c r="D180" s="10" t="s">
        <v>10</v>
      </c>
      <c r="E180" t="s">
        <v>115</v>
      </c>
    </row>
    <row r="182" ht="24.75">
      <c r="A182" s="102" t="s">
        <v>195</v>
      </c>
    </row>
    <row r="183" ht="15" customHeight="1"/>
    <row r="184" spans="1:4" ht="18">
      <c r="A184" s="230" t="s">
        <v>16</v>
      </c>
      <c r="D184" s="87"/>
    </row>
    <row r="186" ht="12" customHeight="1" thickBot="1">
      <c r="A186" s="56"/>
    </row>
    <row r="187" spans="1:9" ht="18">
      <c r="A187" s="52"/>
      <c r="C187" s="276" t="s">
        <v>36</v>
      </c>
      <c r="D187" s="277"/>
      <c r="E187" s="276" t="s">
        <v>116</v>
      </c>
      <c r="F187" s="291"/>
      <c r="G187" s="277"/>
      <c r="H187" s="276" t="s">
        <v>13</v>
      </c>
      <c r="I187" s="277"/>
    </row>
    <row r="188" spans="1:9" ht="15">
      <c r="A188" s="52"/>
      <c r="C188" s="139" t="s">
        <v>44</v>
      </c>
      <c r="D188" s="140" t="s">
        <v>83</v>
      </c>
      <c r="E188" s="139" t="s">
        <v>44</v>
      </c>
      <c r="F188" s="48" t="s">
        <v>83</v>
      </c>
      <c r="G188" s="140" t="s">
        <v>69</v>
      </c>
      <c r="H188" s="139" t="s">
        <v>44</v>
      </c>
      <c r="I188" s="140" t="s">
        <v>83</v>
      </c>
    </row>
    <row r="189" spans="1:9" ht="15">
      <c r="A189" s="81" t="s">
        <v>150</v>
      </c>
      <c r="C189" s="141">
        <f>+F42+F49</f>
        <v>140</v>
      </c>
      <c r="D189" s="90">
        <f>ROUND(F42*G42+F49*G560,0)</f>
        <v>1477</v>
      </c>
      <c r="E189" s="142">
        <f>+B42+B49</f>
        <v>60</v>
      </c>
      <c r="F189" s="64">
        <f>ROUND(+B42*C42+B49*C49,0)</f>
        <v>1266</v>
      </c>
      <c r="G189" s="147">
        <f>IF(F189=0,0,ROUND((B42*C42*E42+B49*C49*E49)/(B42*C42+B49*C49),2))</f>
        <v>5</v>
      </c>
      <c r="H189" s="142">
        <f aca="true" t="shared" si="12" ref="H189:I195">+C189+E189</f>
        <v>200</v>
      </c>
      <c r="I189" s="152">
        <f t="shared" si="12"/>
        <v>2743</v>
      </c>
    </row>
    <row r="190" spans="1:9" ht="15">
      <c r="A190" s="81" t="s">
        <v>57</v>
      </c>
      <c r="C190" s="142">
        <f>+F50</f>
        <v>60</v>
      </c>
      <c r="D190" s="99">
        <f>ROUND(F50*G50,0)</f>
        <v>1410</v>
      </c>
      <c r="E190" s="142">
        <f>+B50</f>
        <v>0</v>
      </c>
      <c r="F190" s="110">
        <f>ROUND(+C50*B50,0)</f>
        <v>0</v>
      </c>
      <c r="G190" s="148">
        <f>+E50</f>
        <v>0</v>
      </c>
      <c r="H190" s="142">
        <f t="shared" si="12"/>
        <v>60</v>
      </c>
      <c r="I190" s="152">
        <f t="shared" si="12"/>
        <v>1410</v>
      </c>
    </row>
    <row r="191" spans="1:9" ht="15">
      <c r="A191" s="81" t="s">
        <v>154</v>
      </c>
      <c r="C191" s="142">
        <f>+F51</f>
        <v>0</v>
      </c>
      <c r="D191" s="99">
        <f>ROUND(F51*G51,0)</f>
        <v>0</v>
      </c>
      <c r="E191" s="142">
        <f>+B51</f>
        <v>61</v>
      </c>
      <c r="F191" s="110">
        <f>ROUND(+B51*C51,0)</f>
        <v>647</v>
      </c>
      <c r="G191" s="149">
        <f>+E51</f>
        <v>16</v>
      </c>
      <c r="H191" s="142">
        <f t="shared" si="12"/>
        <v>61</v>
      </c>
      <c r="I191" s="152">
        <f t="shared" si="12"/>
        <v>647</v>
      </c>
    </row>
    <row r="192" spans="1:9" ht="15">
      <c r="A192" s="81" t="s">
        <v>138</v>
      </c>
      <c r="C192" s="142">
        <f>+F53</f>
        <v>0</v>
      </c>
      <c r="D192" s="99">
        <f>ROUND(F53*G53,0)</f>
        <v>0</v>
      </c>
      <c r="E192" s="142">
        <f>+B53</f>
        <v>0</v>
      </c>
      <c r="F192" s="110">
        <f>ROUND(B53*C53,0)</f>
        <v>0</v>
      </c>
      <c r="G192" s="149">
        <f>+E53</f>
        <v>0</v>
      </c>
      <c r="H192" s="142">
        <f t="shared" si="12"/>
        <v>0</v>
      </c>
      <c r="I192" s="152">
        <f t="shared" si="12"/>
        <v>0</v>
      </c>
    </row>
    <row r="193" spans="1:9" ht="15">
      <c r="A193" s="81" t="s">
        <v>139</v>
      </c>
      <c r="C193" s="142">
        <f>+F54</f>
        <v>0</v>
      </c>
      <c r="D193" s="99">
        <f>ROUND(F54*G54,0)</f>
        <v>0</v>
      </c>
      <c r="E193" s="142">
        <f>+B54</f>
        <v>0</v>
      </c>
      <c r="F193" s="110">
        <f>ROUND(B54*C54,0)</f>
        <v>0</v>
      </c>
      <c r="G193" s="149">
        <f>+E54</f>
        <v>0</v>
      </c>
      <c r="H193" s="142">
        <f t="shared" si="12"/>
        <v>0</v>
      </c>
      <c r="I193" s="152">
        <f t="shared" si="12"/>
        <v>0</v>
      </c>
    </row>
    <row r="194" spans="1:9" ht="15">
      <c r="A194" s="81" t="s">
        <v>140</v>
      </c>
      <c r="C194" s="142">
        <f>+F55</f>
        <v>0</v>
      </c>
      <c r="D194" s="99">
        <f>ROUND(F55*G55,0)</f>
        <v>0</v>
      </c>
      <c r="E194" s="142">
        <f>+B55</f>
        <v>0</v>
      </c>
      <c r="F194" s="110">
        <f>ROUND(B55*C55,0)</f>
        <v>0</v>
      </c>
      <c r="G194" s="149">
        <f>+E55</f>
        <v>0</v>
      </c>
      <c r="H194" s="142">
        <f t="shared" si="12"/>
        <v>0</v>
      </c>
      <c r="I194" s="152">
        <f t="shared" si="12"/>
        <v>0</v>
      </c>
    </row>
    <row r="195" spans="1:9" ht="15">
      <c r="A195" s="81" t="s">
        <v>27</v>
      </c>
      <c r="C195" s="143">
        <f>+F43+F44+F52+F56+F57</f>
        <v>0</v>
      </c>
      <c r="D195" s="144">
        <f>ROUND(F43*G43+F44*G44+F52*G52+F56*G56+F57*G57,0)</f>
        <v>0</v>
      </c>
      <c r="E195" s="143">
        <f>+B43+B44+B52+B56+B57</f>
        <v>0</v>
      </c>
      <c r="F195" s="111">
        <f>ROUND(B43*C43+B44*C44+B52*C52+B56*C56+B57*C57,0)</f>
        <v>0</v>
      </c>
      <c r="G195" s="150">
        <f>IF(F195=0,0,ROUND((B43*C43*E43+B44*C44*E44+B52*C52*E52+B56*C56*E56+B57*C57*E57)/(B43*C43+B44*C44+B52*C52+B56*C56+B57*C57),2))</f>
        <v>0</v>
      </c>
      <c r="H195" s="143">
        <f t="shared" si="12"/>
        <v>0</v>
      </c>
      <c r="I195" s="153">
        <f t="shared" si="12"/>
        <v>0</v>
      </c>
    </row>
    <row r="196" spans="3:9" ht="13.5" thickBot="1">
      <c r="C196" s="145">
        <f>SUM(C189:C195)</f>
        <v>200</v>
      </c>
      <c r="D196" s="146">
        <f>SUM(D189:D195)</f>
        <v>2887</v>
      </c>
      <c r="E196" s="145">
        <f>SUM(E189:E195)</f>
        <v>121</v>
      </c>
      <c r="F196" s="151">
        <f>SUM(F189:F195)</f>
        <v>1913</v>
      </c>
      <c r="G196" s="146">
        <f>ROUND((G189*F189+G190*F190+G191*F191+G192*F192+G195*F195)/F196,2)</f>
        <v>8.72</v>
      </c>
      <c r="H196" s="154">
        <f>SUM(H189:H195)</f>
        <v>321</v>
      </c>
      <c r="I196" s="146">
        <f>SUM(I189:I195)</f>
        <v>4800</v>
      </c>
    </row>
    <row r="197" ht="12.75">
      <c r="E197" s="37"/>
    </row>
    <row r="198" spans="5:8" ht="15.75">
      <c r="E198" s="37"/>
      <c r="G198" s="131">
        <f>ROUND(F196*G196*G219/32.1034,0)</f>
        <v>496</v>
      </c>
      <c r="H198" s="89" t="s">
        <v>117</v>
      </c>
    </row>
    <row r="199" spans="5:8" ht="15.75">
      <c r="E199" s="37"/>
      <c r="G199" s="228"/>
      <c r="H199" s="89"/>
    </row>
    <row r="200" spans="1:7" ht="15.75">
      <c r="A200" s="82" t="s">
        <v>155</v>
      </c>
      <c r="E200" s="37"/>
      <c r="G200" s="88"/>
    </row>
    <row r="201" ht="13.5" thickBot="1"/>
    <row r="202" spans="3:7" ht="15.75">
      <c r="C202" s="288" t="s">
        <v>59</v>
      </c>
      <c r="D202" s="289"/>
      <c r="E202" s="288" t="s">
        <v>35</v>
      </c>
      <c r="F202" s="290"/>
      <c r="G202" s="210" t="s">
        <v>36</v>
      </c>
    </row>
    <row r="203" spans="3:7" ht="12.75">
      <c r="C203" s="139" t="s">
        <v>83</v>
      </c>
      <c r="D203" s="140" t="s">
        <v>69</v>
      </c>
      <c r="E203" s="139" t="s">
        <v>83</v>
      </c>
      <c r="F203" s="140" t="s">
        <v>69</v>
      </c>
      <c r="G203" s="175" t="s">
        <v>83</v>
      </c>
    </row>
    <row r="204" spans="1:7" ht="15">
      <c r="A204" s="81" t="s">
        <v>154</v>
      </c>
      <c r="C204" s="176">
        <f>+B51*C51</f>
        <v>646.6</v>
      </c>
      <c r="D204" s="177">
        <f>+E51</f>
        <v>16</v>
      </c>
      <c r="E204" s="176">
        <f>+C204/(1+D51)</f>
        <v>497.38461538461536</v>
      </c>
      <c r="F204" s="178">
        <f>IF(E204=0,0,D204*C204/E204)</f>
        <v>20.8</v>
      </c>
      <c r="G204" s="179">
        <f>+C204-E204</f>
        <v>149.21538461538466</v>
      </c>
    </row>
    <row r="205" spans="1:7" ht="15">
      <c r="A205" s="81" t="s">
        <v>183</v>
      </c>
      <c r="C205" s="176">
        <f>B52*C52</f>
        <v>0</v>
      </c>
      <c r="D205" s="177">
        <f>+E52</f>
        <v>0</v>
      </c>
      <c r="E205" s="176">
        <f>+C205/(1+D52)</f>
        <v>0</v>
      </c>
      <c r="F205" s="178">
        <f>IF(E205=0,0,D205*C205/E205)</f>
        <v>0</v>
      </c>
      <c r="G205" s="179">
        <f>+C205-E205</f>
        <v>0</v>
      </c>
    </row>
    <row r="206" spans="1:7" ht="15">
      <c r="A206" s="81" t="s">
        <v>138</v>
      </c>
      <c r="C206" s="176">
        <f>B53*C53</f>
        <v>0</v>
      </c>
      <c r="D206" s="177">
        <f>+E53</f>
        <v>0</v>
      </c>
      <c r="E206" s="176">
        <f>+C206/(1+D53)</f>
        <v>0</v>
      </c>
      <c r="F206" s="178">
        <f>IF(E206=0,0,D206*C206/E206)</f>
        <v>0</v>
      </c>
      <c r="G206" s="179">
        <f>+C206-E206</f>
        <v>0</v>
      </c>
    </row>
    <row r="207" spans="1:7" ht="15">
      <c r="A207" s="81" t="s">
        <v>139</v>
      </c>
      <c r="C207" s="176">
        <f>B54*C54</f>
        <v>0</v>
      </c>
      <c r="D207" s="177">
        <f>+E54</f>
        <v>0</v>
      </c>
      <c r="E207" s="176">
        <f>+C207/(1+D54)</f>
        <v>0</v>
      </c>
      <c r="F207" s="178">
        <f>IF(E207=0,0,D207*C207/E207)</f>
        <v>0</v>
      </c>
      <c r="G207" s="179">
        <f>+C207-E207</f>
        <v>0</v>
      </c>
    </row>
    <row r="208" spans="1:7" ht="15">
      <c r="A208" s="81" t="s">
        <v>140</v>
      </c>
      <c r="C208" s="176">
        <f>B55*C55</f>
        <v>0</v>
      </c>
      <c r="D208" s="177">
        <f>+E55</f>
        <v>0</v>
      </c>
      <c r="E208" s="176">
        <f>+C208/(1+D55)</f>
        <v>0</v>
      </c>
      <c r="F208" s="178">
        <f>IF(E208=0,0,D208*C208/E208)</f>
        <v>0</v>
      </c>
      <c r="G208" s="179">
        <f>+C208-E208</f>
        <v>0</v>
      </c>
    </row>
    <row r="209" spans="3:7" ht="13.5" thickBot="1">
      <c r="C209" s="180">
        <f>SUM(C204:C208)</f>
        <v>646.6</v>
      </c>
      <c r="D209" s="181">
        <f>IF(C209=0,0,SUMPRODUCT(C204:C208,D204:D208)/C209)</f>
        <v>16</v>
      </c>
      <c r="E209" s="182">
        <f>SUM(E204:E208)</f>
        <v>497.38461538461536</v>
      </c>
      <c r="F209" s="183">
        <f>IF(E209=0,0,SUMPRODUCT(E204:E208,F204:F208)/E209)</f>
        <v>20.8</v>
      </c>
      <c r="G209" s="184">
        <f>SUM(G204:G208)</f>
        <v>149.21538461538466</v>
      </c>
    </row>
    <row r="210" spans="5:7" ht="15.75">
      <c r="E210" s="37"/>
      <c r="G210" s="88"/>
    </row>
    <row r="211" spans="5:7" ht="15.75">
      <c r="E211" s="37"/>
      <c r="F211" s="131">
        <f>ROUND(E209*F209*$G$219/32.1034,0)</f>
        <v>308</v>
      </c>
      <c r="G211" s="89" t="s">
        <v>117</v>
      </c>
    </row>
    <row r="212" spans="5:7" ht="15.75">
      <c r="E212" s="37"/>
      <c r="G212" s="88"/>
    </row>
    <row r="213" spans="1:7" ht="18">
      <c r="A213" s="230" t="s">
        <v>15</v>
      </c>
      <c r="E213" s="37"/>
      <c r="G213" s="88"/>
    </row>
    <row r="214" ht="15" customHeight="1"/>
    <row r="215" spans="1:7" ht="15.75">
      <c r="A215" s="53"/>
      <c r="B215" s="53"/>
      <c r="C215" s="53"/>
      <c r="D215" s="53"/>
      <c r="F215" s="88" t="s">
        <v>83</v>
      </c>
      <c r="G215" s="88" t="s">
        <v>69</v>
      </c>
    </row>
    <row r="216" spans="1:7" ht="15.75">
      <c r="A216" s="82" t="s">
        <v>77</v>
      </c>
      <c r="B216" s="137">
        <f>+A9</f>
        <v>55</v>
      </c>
      <c r="C216" s="53" t="s">
        <v>53</v>
      </c>
      <c r="D216" s="87" t="s">
        <v>121</v>
      </c>
      <c r="F216" s="85">
        <f>+A14-E209</f>
        <v>16994.354200959227</v>
      </c>
      <c r="G216" s="84">
        <f>+D14</f>
        <v>15.909090909090907</v>
      </c>
    </row>
    <row r="217" spans="1:7" ht="15.75">
      <c r="A217" s="82" t="s">
        <v>72</v>
      </c>
      <c r="B217" s="84">
        <f>+B9</f>
        <v>1.8</v>
      </c>
      <c r="C217" s="53" t="s">
        <v>53</v>
      </c>
      <c r="D217" s="87" t="s">
        <v>78</v>
      </c>
      <c r="F217" s="86">
        <f>+E14</f>
        <v>0.1</v>
      </c>
      <c r="G217" s="82"/>
    </row>
    <row r="218" spans="1:7" ht="15.75">
      <c r="A218" s="82" t="s">
        <v>118</v>
      </c>
      <c r="B218" s="137">
        <f>+C9</f>
        <v>60</v>
      </c>
      <c r="C218" s="53" t="s">
        <v>53</v>
      </c>
      <c r="D218" s="159" t="s">
        <v>122</v>
      </c>
      <c r="E218" s="9"/>
      <c r="F218" s="160">
        <f>+D118</f>
        <v>270</v>
      </c>
      <c r="G218" s="161">
        <f>+D14</f>
        <v>15.909090909090907</v>
      </c>
    </row>
    <row r="219" spans="1:7" ht="15.75">
      <c r="A219" s="82" t="s">
        <v>119</v>
      </c>
      <c r="B219" s="83">
        <f>+D9</f>
        <v>80</v>
      </c>
      <c r="C219" s="53" t="s">
        <v>28</v>
      </c>
      <c r="D219" s="87" t="s">
        <v>123</v>
      </c>
      <c r="G219" s="234">
        <v>0.955</v>
      </c>
    </row>
    <row r="220" spans="1:3" ht="15.75">
      <c r="A220" s="89" t="s">
        <v>120</v>
      </c>
      <c r="B220" s="138">
        <f>+H9</f>
        <v>2.9</v>
      </c>
      <c r="C220" s="53" t="s">
        <v>51</v>
      </c>
    </row>
    <row r="221" spans="6:8" ht="15.75">
      <c r="F221" s="88" t="s">
        <v>83</v>
      </c>
      <c r="G221" s="88" t="s">
        <v>69</v>
      </c>
      <c r="H221" s="88" t="s">
        <v>124</v>
      </c>
    </row>
    <row r="222" spans="4:8" ht="15.75">
      <c r="D222" s="229" t="s">
        <v>156</v>
      </c>
      <c r="F222" s="85">
        <f>+C14-F218-E209</f>
        <v>18473.528082593613</v>
      </c>
      <c r="G222" s="84">
        <f>+H222*32.1034/F222/G219</f>
        <v>14.07531527137868</v>
      </c>
      <c r="H222" s="131">
        <f>ROUND(+F216*G216*G219/32.1034,0)-F211</f>
        <v>7735</v>
      </c>
    </row>
    <row r="223" spans="1:7" ht="15.75">
      <c r="A223" s="168"/>
      <c r="B223" t="s">
        <v>187</v>
      </c>
      <c r="E223" s="37"/>
      <c r="G223" s="88"/>
    </row>
    <row r="224" spans="2:7" ht="15.75">
      <c r="B224" t="s">
        <v>135</v>
      </c>
      <c r="E224" s="37"/>
      <c r="G224" s="88"/>
    </row>
    <row r="225" spans="5:7" ht="24.75" customHeight="1">
      <c r="E225" s="37"/>
      <c r="G225" s="88"/>
    </row>
    <row r="226" spans="1:7" ht="20.25" customHeight="1">
      <c r="A226" s="230" t="s">
        <v>37</v>
      </c>
      <c r="E226" s="37"/>
      <c r="G226" s="88"/>
    </row>
    <row r="227" spans="1:7" ht="15" customHeight="1">
      <c r="A227" s="56"/>
      <c r="E227" s="37"/>
      <c r="G227" s="88"/>
    </row>
    <row r="228" spans="6:8" ht="15.75">
      <c r="F228" s="88" t="s">
        <v>83</v>
      </c>
      <c r="G228" s="88" t="s">
        <v>69</v>
      </c>
      <c r="H228" s="88" t="s">
        <v>124</v>
      </c>
    </row>
    <row r="229" spans="5:8" ht="15.75">
      <c r="E229" s="158" t="s">
        <v>125</v>
      </c>
      <c r="F229" s="85">
        <f>+F196</f>
        <v>1913</v>
      </c>
      <c r="G229" s="84">
        <f>+G196</f>
        <v>8.72</v>
      </c>
      <c r="H229" s="131">
        <f>+G198</f>
        <v>496</v>
      </c>
    </row>
    <row r="230" spans="4:8" ht="16.5" thickBot="1">
      <c r="D230" s="87"/>
      <c r="E230" s="158" t="s">
        <v>126</v>
      </c>
      <c r="F230" s="185">
        <f>+F222</f>
        <v>18473.528082593613</v>
      </c>
      <c r="G230" s="186">
        <f>+G222</f>
        <v>14.07531527137868</v>
      </c>
      <c r="H230" s="187">
        <f>+H222</f>
        <v>7735</v>
      </c>
    </row>
    <row r="231" spans="4:8" ht="16.5" thickBot="1">
      <c r="D231" s="87"/>
      <c r="F231" s="188">
        <f>+F229+F230</f>
        <v>20386.528082593613</v>
      </c>
      <c r="G231" s="189">
        <f>+H231*32.1034/F231/G219</f>
        <v>13.572410620424707</v>
      </c>
      <c r="H231" s="190">
        <f>+H229+H230</f>
        <v>8231</v>
      </c>
    </row>
  </sheetData>
  <mergeCells count="43">
    <mergeCell ref="C202:D202"/>
    <mergeCell ref="E202:F202"/>
    <mergeCell ref="C187:D187"/>
    <mergeCell ref="E187:G187"/>
    <mergeCell ref="A81:B81"/>
    <mergeCell ref="F40:G40"/>
    <mergeCell ref="G26:G27"/>
    <mergeCell ref="B47:E47"/>
    <mergeCell ref="H187:I187"/>
    <mergeCell ref="H135:I135"/>
    <mergeCell ref="F119:I119"/>
    <mergeCell ref="H169:I169"/>
    <mergeCell ref="H170:I170"/>
    <mergeCell ref="H175:I175"/>
    <mergeCell ref="H176:I176"/>
    <mergeCell ref="F170:G170"/>
    <mergeCell ref="F169:G169"/>
    <mergeCell ref="H132:I132"/>
    <mergeCell ref="D169:E169"/>
    <mergeCell ref="D170:E170"/>
    <mergeCell ref="A71:B71"/>
    <mergeCell ref="F114:I114"/>
    <mergeCell ref="H97:I97"/>
    <mergeCell ref="H95:I95"/>
    <mergeCell ref="H96:I96"/>
    <mergeCell ref="H149:I149"/>
    <mergeCell ref="H133:I133"/>
    <mergeCell ref="H134:I134"/>
    <mergeCell ref="E147:E148"/>
    <mergeCell ref="H147:I148"/>
    <mergeCell ref="C7:C8"/>
    <mergeCell ref="F47:G47"/>
    <mergeCell ref="C26:D26"/>
    <mergeCell ref="A96:C96"/>
    <mergeCell ref="A97:C97"/>
    <mergeCell ref="H26:H27"/>
    <mergeCell ref="H47:I47"/>
    <mergeCell ref="H40:I40"/>
    <mergeCell ref="A12:B12"/>
    <mergeCell ref="C12:E12"/>
    <mergeCell ref="B40:E40"/>
    <mergeCell ref="E8:F8"/>
    <mergeCell ref="E9:F9"/>
  </mergeCells>
  <printOptions/>
  <pageMargins left="0.65" right="0.65" top="1" bottom="1" header="0.4921259845" footer="0.4921259845"/>
  <pageSetup cellComments="asDisplayed" horizontalDpi="600" verticalDpi="600" orientation="portrait" scale="70" r:id="rId4"/>
  <headerFooter alignWithMargins="0">
    <oddFooter>&amp;LFichier : &amp;F
Onglet : &amp;A
Page &amp;P de &amp;N&amp;CMine-laboratoire
Val-d'Or&amp;R&amp;D
&amp;T</oddFooter>
  </headerFooter>
  <rowBreaks count="2" manualBreakCount="2">
    <brk id="122" max="8" man="1"/>
    <brk id="181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selection activeCell="I1" sqref="I1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3.421875" style="0" customWidth="1"/>
    <col min="4" max="4" width="14.28125" style="0" customWidth="1"/>
    <col min="5" max="5" width="14.8515625" style="0" customWidth="1"/>
    <col min="6" max="6" width="15.140625" style="0" customWidth="1"/>
    <col min="7" max="7" width="12.421875" style="0" customWidth="1"/>
    <col min="8" max="8" width="13.8515625" style="0" customWidth="1"/>
    <col min="9" max="9" width="14.140625" style="0" customWidth="1"/>
    <col min="10" max="16384" width="11.421875" style="0" customWidth="1"/>
  </cols>
  <sheetData>
    <row r="1" ht="12.75">
      <c r="I1" s="232" t="s">
        <v>202</v>
      </c>
    </row>
    <row r="2" ht="27">
      <c r="A2" s="51" t="s">
        <v>2</v>
      </c>
    </row>
    <row r="4" ht="22.5">
      <c r="A4" s="27" t="s">
        <v>1</v>
      </c>
    </row>
    <row r="5" spans="3:8" ht="17.25" customHeight="1">
      <c r="C5" s="10"/>
      <c r="D5" s="10"/>
      <c r="E5" s="257" t="s">
        <v>63</v>
      </c>
      <c r="F5" s="10"/>
      <c r="G5" s="257" t="s">
        <v>159</v>
      </c>
      <c r="H5" s="17" t="str">
        <f>Chantier!I7</f>
        <v>Facteur de</v>
      </c>
    </row>
    <row r="6" spans="1:8" ht="16.5">
      <c r="A6" s="235" t="s">
        <v>200</v>
      </c>
      <c r="C6" s="18" t="s">
        <v>44</v>
      </c>
      <c r="D6" s="19" t="s">
        <v>62</v>
      </c>
      <c r="E6" s="296"/>
      <c r="F6" s="173" t="s">
        <v>64</v>
      </c>
      <c r="G6" s="296"/>
      <c r="H6" s="20" t="str">
        <f>Chantier!I8</f>
        <v>foisonnement</v>
      </c>
    </row>
    <row r="7" spans="3:8" ht="12.75">
      <c r="C7" s="4">
        <f>Chantier!A9</f>
        <v>55</v>
      </c>
      <c r="D7" s="4">
        <f>Chantier!B9</f>
        <v>1.8</v>
      </c>
      <c r="E7" s="4">
        <f>Chantier!C9</f>
        <v>60</v>
      </c>
      <c r="F7" s="4">
        <f>Chantier!D9</f>
        <v>80</v>
      </c>
      <c r="G7" s="4">
        <f>Chantier!H9</f>
        <v>2.9</v>
      </c>
      <c r="H7" s="4">
        <f>Chantier!I9</f>
        <v>1.38</v>
      </c>
    </row>
    <row r="10" ht="16.5">
      <c r="A10" s="235" t="s">
        <v>201</v>
      </c>
    </row>
    <row r="11" ht="16.5">
      <c r="A11" s="235"/>
    </row>
    <row r="13" spans="1:8" ht="27">
      <c r="A13" s="51"/>
      <c r="F13" s="17" t="s">
        <v>46</v>
      </c>
      <c r="H13" s="10"/>
    </row>
    <row r="14" spans="1:6" ht="15">
      <c r="A14" s="298" t="s">
        <v>174</v>
      </c>
      <c r="B14" s="298"/>
      <c r="C14" s="298" t="s">
        <v>160</v>
      </c>
      <c r="D14" s="298"/>
      <c r="E14" s="18" t="s">
        <v>44</v>
      </c>
      <c r="F14" s="20" t="s">
        <v>161</v>
      </c>
    </row>
    <row r="15" spans="1:6" ht="12.75">
      <c r="A15" s="310">
        <v>10</v>
      </c>
      <c r="B15" s="310"/>
      <c r="C15" s="310">
        <v>2.9</v>
      </c>
      <c r="D15" s="310"/>
      <c r="E15" s="104">
        <v>10</v>
      </c>
      <c r="F15" s="66">
        <v>38</v>
      </c>
    </row>
    <row r="16" ht="13.5" thickBot="1"/>
    <row r="17" spans="1:9" ht="15.75" thickBot="1">
      <c r="A17" s="304" t="s">
        <v>3</v>
      </c>
      <c r="B17" s="305"/>
      <c r="C17" s="306"/>
      <c r="D17" s="304" t="s">
        <v>162</v>
      </c>
      <c r="E17" s="305"/>
      <c r="F17" s="306"/>
      <c r="G17" s="304" t="s">
        <v>164</v>
      </c>
      <c r="H17" s="305"/>
      <c r="I17" s="306"/>
    </row>
    <row r="18" spans="1:9" ht="12.75">
      <c r="A18" s="28" t="s">
        <v>4</v>
      </c>
      <c r="B18" s="29" t="s">
        <v>163</v>
      </c>
      <c r="C18" s="30"/>
      <c r="D18" s="28" t="s">
        <v>4</v>
      </c>
      <c r="E18" s="29" t="s">
        <v>163</v>
      </c>
      <c r="F18" s="30"/>
      <c r="G18" s="28" t="s">
        <v>4</v>
      </c>
      <c r="H18" s="29" t="s">
        <v>163</v>
      </c>
      <c r="I18" s="30"/>
    </row>
    <row r="19" spans="1:9" ht="12.75">
      <c r="A19" s="112">
        <v>6</v>
      </c>
      <c r="B19" s="22">
        <f>+$C$7/(A19-1)</f>
        <v>11</v>
      </c>
      <c r="C19" s="11" t="s">
        <v>53</v>
      </c>
      <c r="D19" s="112">
        <v>5</v>
      </c>
      <c r="E19" s="22">
        <f>+$C$7/(D19)</f>
        <v>11</v>
      </c>
      <c r="F19" s="11" t="s">
        <v>53</v>
      </c>
      <c r="G19" s="112">
        <v>6</v>
      </c>
      <c r="H19" s="22">
        <f>+$C$7/(G19-0.5)</f>
        <v>10</v>
      </c>
      <c r="I19" s="11" t="s">
        <v>53</v>
      </c>
    </row>
    <row r="20" spans="1:9" ht="15">
      <c r="A20" s="297" t="s">
        <v>5</v>
      </c>
      <c r="B20" s="298"/>
      <c r="C20" s="299"/>
      <c r="D20" s="297" t="s">
        <v>5</v>
      </c>
      <c r="E20" s="298"/>
      <c r="F20" s="299"/>
      <c r="G20" s="297" t="s">
        <v>5</v>
      </c>
      <c r="H20" s="298"/>
      <c r="I20" s="299"/>
    </row>
    <row r="21" spans="1:9" ht="12.75">
      <c r="A21" s="31" t="s">
        <v>42</v>
      </c>
      <c r="B21" s="21" t="s">
        <v>60</v>
      </c>
      <c r="C21" s="32" t="s">
        <v>83</v>
      </c>
      <c r="D21" s="31" t="s">
        <v>42</v>
      </c>
      <c r="E21" s="21" t="s">
        <v>60</v>
      </c>
      <c r="F21" s="32" t="s">
        <v>83</v>
      </c>
      <c r="G21" s="31" t="s">
        <v>42</v>
      </c>
      <c r="H21" s="21" t="s">
        <v>60</v>
      </c>
      <c r="I21" s="32" t="s">
        <v>83</v>
      </c>
    </row>
    <row r="22" spans="1:9" ht="13.5" thickBot="1">
      <c r="A22" s="33">
        <f>+(B19-$C$15)/2*TAN($F$15*PI()/180)</f>
        <v>3.164206787352205</v>
      </c>
      <c r="B22" s="34">
        <f>+A22*(B19-$C$15)/2*$D$7*(A19-0.5)</f>
        <v>126.86887113888665</v>
      </c>
      <c r="C22" s="35">
        <f>B22*$G$7/$H$7</f>
        <v>266.60849732084876</v>
      </c>
      <c r="D22" s="33">
        <f>+(E19-$C$15)/2*TAN($F$15*PI()/180)</f>
        <v>3.164206787352205</v>
      </c>
      <c r="E22" s="34">
        <f>+D22*(E19-$C$15)/2*$D$7*(D19-0.5)</f>
        <v>103.80180365908907</v>
      </c>
      <c r="F22" s="35">
        <f>E22*$G$7/$H$7</f>
        <v>218.13422508069445</v>
      </c>
      <c r="G22" s="33">
        <f>+(H19-$C$15)/2*TAN($F$15*PI()/180)</f>
        <v>2.7735639740988463</v>
      </c>
      <c r="H22" s="34">
        <f>+G22*(H19-$C$15)/2*$D$7*(G19-0.5)</f>
        <v>97.47690586970394</v>
      </c>
      <c r="I22" s="35">
        <f>H22*$G$7/$H$7</f>
        <v>204.8427732044503</v>
      </c>
    </row>
    <row r="23" spans="1:9" ht="12.75">
      <c r="A23" s="13"/>
      <c r="B23" s="2"/>
      <c r="C23" s="11"/>
      <c r="D23" s="13"/>
      <c r="E23" s="2"/>
      <c r="F23" s="11"/>
      <c r="G23" s="13"/>
      <c r="H23" s="2"/>
      <c r="I23" s="11"/>
    </row>
    <row r="24" spans="1:9" ht="12.75">
      <c r="A24" s="13"/>
      <c r="B24" s="2"/>
      <c r="C24" s="11"/>
      <c r="D24" s="13"/>
      <c r="E24" s="2"/>
      <c r="F24" s="11"/>
      <c r="G24" s="13"/>
      <c r="H24" s="2"/>
      <c r="I24" s="11"/>
    </row>
    <row r="25" spans="1:9" ht="12.75">
      <c r="A25" s="13"/>
      <c r="B25" s="2"/>
      <c r="C25" s="11"/>
      <c r="D25" s="13"/>
      <c r="E25" s="2"/>
      <c r="F25" s="11"/>
      <c r="G25" s="13"/>
      <c r="H25" s="2"/>
      <c r="I25" s="11"/>
    </row>
    <row r="26" spans="1:9" ht="12.75">
      <c r="A26" s="13"/>
      <c r="B26" s="2"/>
      <c r="C26" s="11"/>
      <c r="D26" s="13"/>
      <c r="E26" s="2"/>
      <c r="F26" s="11"/>
      <c r="G26" s="13"/>
      <c r="H26" s="2"/>
      <c r="I26" s="11"/>
    </row>
    <row r="27" spans="1:9" ht="13.5" thickBot="1">
      <c r="A27" s="15"/>
      <c r="B27" s="7"/>
      <c r="C27" s="16"/>
      <c r="D27" s="15"/>
      <c r="E27" s="7"/>
      <c r="F27" s="16"/>
      <c r="G27" s="15"/>
      <c r="H27" s="7"/>
      <c r="I27" s="16"/>
    </row>
    <row r="29" spans="1:10" ht="13.5" thickBo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2" ht="27">
      <c r="A32" s="51" t="s">
        <v>199</v>
      </c>
    </row>
    <row r="34" ht="19.5">
      <c r="A34" s="103" t="s">
        <v>165</v>
      </c>
    </row>
    <row r="35" ht="12.75" customHeight="1">
      <c r="F35" s="231"/>
    </row>
    <row r="36" spans="1:6" ht="12.75">
      <c r="A36" s="249" t="s">
        <v>43</v>
      </c>
      <c r="B36" s="249"/>
      <c r="C36" s="18" t="s">
        <v>64</v>
      </c>
      <c r="D36" s="18" t="s">
        <v>44</v>
      </c>
      <c r="E36" s="307" t="s">
        <v>166</v>
      </c>
      <c r="F36" s="281"/>
    </row>
    <row r="37" spans="1:6" ht="12.75">
      <c r="A37" s="300">
        <f>+E7</f>
        <v>60</v>
      </c>
      <c r="B37" s="300"/>
      <c r="C37" s="49">
        <v>80</v>
      </c>
      <c r="D37" s="50">
        <f>A37/SIN(C37*PI()/180)</f>
        <v>60.9255967131447</v>
      </c>
      <c r="E37" s="308">
        <f>+D37*COS(C37*PI()/180)</f>
        <v>10.579618842507902</v>
      </c>
      <c r="F37" s="281"/>
    </row>
    <row r="40" ht="19.5">
      <c r="A40" s="103" t="s">
        <v>167</v>
      </c>
    </row>
    <row r="41" ht="19.5">
      <c r="A41" s="63"/>
    </row>
    <row r="42" ht="15">
      <c r="D42" s="52" t="s">
        <v>17</v>
      </c>
    </row>
    <row r="43" spans="4:10" ht="12.75">
      <c r="D43" s="240" t="s">
        <v>43</v>
      </c>
      <c r="E43" s="240"/>
      <c r="F43" s="38" t="s">
        <v>64</v>
      </c>
      <c r="G43" s="38" t="s">
        <v>66</v>
      </c>
      <c r="H43" s="38" t="s">
        <v>74</v>
      </c>
      <c r="I43" s="301" t="s">
        <v>168</v>
      </c>
      <c r="J43" s="281"/>
    </row>
    <row r="44" spans="4:10" ht="12.75">
      <c r="D44" s="300">
        <f>+E7</f>
        <v>60</v>
      </c>
      <c r="E44" s="300"/>
      <c r="F44" s="66">
        <v>80</v>
      </c>
      <c r="G44" s="4">
        <v>2.9</v>
      </c>
      <c r="H44" s="66">
        <v>10.6</v>
      </c>
      <c r="I44" s="308">
        <f>D44/SIN(F44*PI()/180)</f>
        <v>60.9255967131447</v>
      </c>
      <c r="J44" s="281"/>
    </row>
    <row r="45" ht="15">
      <c r="D45" s="52" t="s">
        <v>169</v>
      </c>
    </row>
    <row r="46" spans="4:7" ht="12.75">
      <c r="D46" s="38" t="s">
        <v>171</v>
      </c>
      <c r="E46" s="38" t="s">
        <v>172</v>
      </c>
      <c r="F46" s="38" t="s">
        <v>173</v>
      </c>
      <c r="G46" s="38" t="s">
        <v>170</v>
      </c>
    </row>
    <row r="47" spans="4:7" ht="12.75">
      <c r="D47" s="66">
        <v>2.4</v>
      </c>
      <c r="E47" s="66">
        <v>1.8</v>
      </c>
      <c r="F47" s="104">
        <f>(7.5+2*7.5)/3.28</f>
        <v>6.859756097560976</v>
      </c>
      <c r="G47" s="4">
        <f>ROUND(+F47*E47*D47*G44,0)</f>
        <v>86</v>
      </c>
    </row>
    <row r="49" spans="4:8" ht="12.75">
      <c r="D49" s="240" t="s">
        <v>54</v>
      </c>
      <c r="E49" s="240"/>
      <c r="F49" s="301" t="s">
        <v>52</v>
      </c>
      <c r="G49" s="302"/>
      <c r="H49" s="303"/>
    </row>
    <row r="50" spans="4:8" ht="12.75">
      <c r="D50" s="241">
        <v>4</v>
      </c>
      <c r="E50" s="241"/>
      <c r="F50" s="250">
        <f>+(D44-D50*D47)/(D50+1)</f>
        <v>10.08</v>
      </c>
      <c r="G50" s="250"/>
      <c r="H50" s="250"/>
    </row>
    <row r="52" spans="4:8" ht="12.75">
      <c r="D52" s="240" t="s">
        <v>19</v>
      </c>
      <c r="E52" s="240"/>
      <c r="F52" s="240"/>
      <c r="G52" s="6">
        <f>+F47*COS((90-F44)*PI()/180)</f>
        <v>6.755540988650818</v>
      </c>
      <c r="H52" t="s">
        <v>53</v>
      </c>
    </row>
    <row r="53" ht="13.5" thickBot="1"/>
    <row r="54" spans="4:7" ht="18">
      <c r="D54" s="69" t="s">
        <v>18</v>
      </c>
      <c r="E54" s="79" t="s">
        <v>175</v>
      </c>
      <c r="F54" s="79" t="s">
        <v>6</v>
      </c>
      <c r="G54" s="75" t="s">
        <v>13</v>
      </c>
    </row>
    <row r="55" spans="4:7" ht="15">
      <c r="D55" s="67" t="s">
        <v>44</v>
      </c>
      <c r="E55" s="50">
        <f>+D50+F47</f>
        <v>10.859756097560975</v>
      </c>
      <c r="F55" s="50">
        <f>+I44</f>
        <v>60.9255967131447</v>
      </c>
      <c r="G55" s="71">
        <f>+F55+E55</f>
        <v>71.78535281070567</v>
      </c>
    </row>
    <row r="56" spans="4:7" ht="15.75" thickBot="1">
      <c r="D56" s="70" t="s">
        <v>83</v>
      </c>
      <c r="E56" s="76">
        <f>ROUND(+D50*G47,0)</f>
        <v>344</v>
      </c>
      <c r="F56" s="76">
        <f>ROUND(+H44*I44,0)</f>
        <v>646</v>
      </c>
      <c r="G56" s="72">
        <f>+F56+E56</f>
        <v>990</v>
      </c>
    </row>
    <row r="58" spans="1:3" ht="12.75">
      <c r="A58" s="309" t="s">
        <v>47</v>
      </c>
      <c r="B58" s="309"/>
      <c r="C58" s="309"/>
    </row>
    <row r="66" ht="19.5">
      <c r="A66" s="103" t="s">
        <v>185</v>
      </c>
    </row>
    <row r="67" ht="19.5">
      <c r="A67" s="103"/>
    </row>
    <row r="68" ht="19.5">
      <c r="A68" s="63"/>
    </row>
    <row r="69" ht="15">
      <c r="D69" s="52" t="s">
        <v>17</v>
      </c>
    </row>
    <row r="70" ht="12.75">
      <c r="I70" s="292" t="s">
        <v>168</v>
      </c>
    </row>
    <row r="71" spans="4:10" ht="12.75">
      <c r="D71" s="240" t="s">
        <v>43</v>
      </c>
      <c r="E71" s="240"/>
      <c r="F71" s="38" t="s">
        <v>64</v>
      </c>
      <c r="G71" s="38" t="s">
        <v>66</v>
      </c>
      <c r="H71" s="192" t="s">
        <v>74</v>
      </c>
      <c r="I71" s="293"/>
      <c r="J71" s="65" t="s">
        <v>69</v>
      </c>
    </row>
    <row r="72" spans="4:10" ht="12.75">
      <c r="D72" s="300">
        <f>+E7</f>
        <v>60</v>
      </c>
      <c r="E72" s="300"/>
      <c r="F72" s="4">
        <f>+F7</f>
        <v>80</v>
      </c>
      <c r="G72" s="4">
        <v>2.9</v>
      </c>
      <c r="H72" s="66">
        <v>12.4</v>
      </c>
      <c r="I72" s="50">
        <f>D72/SIN(F72*PI()/180)</f>
        <v>60.9255967131447</v>
      </c>
      <c r="J72" s="114">
        <v>10</v>
      </c>
    </row>
    <row r="74" ht="15">
      <c r="D74" s="52" t="s">
        <v>169</v>
      </c>
    </row>
    <row r="75" spans="4:8" ht="12.75">
      <c r="D75" s="38" t="s">
        <v>171</v>
      </c>
      <c r="E75" s="38" t="s">
        <v>172</v>
      </c>
      <c r="F75" s="38" t="s">
        <v>173</v>
      </c>
      <c r="G75" s="38" t="s">
        <v>170</v>
      </c>
      <c r="H75" s="38" t="s">
        <v>69</v>
      </c>
    </row>
    <row r="76" spans="4:8" ht="12.75">
      <c r="D76" s="66">
        <v>2.4</v>
      </c>
      <c r="E76" s="66">
        <v>1.8</v>
      </c>
      <c r="F76" s="104">
        <f>(7.5+2*7.5)/3.28</f>
        <v>6.859756097560976</v>
      </c>
      <c r="G76" s="4">
        <f>ROUND(+F76*E76*D76*G72,0)</f>
        <v>86</v>
      </c>
      <c r="H76" s="114">
        <v>10</v>
      </c>
    </row>
    <row r="78" spans="4:8" ht="12.75">
      <c r="D78" s="240" t="s">
        <v>54</v>
      </c>
      <c r="E78" s="240"/>
      <c r="F78" s="301" t="s">
        <v>52</v>
      </c>
      <c r="G78" s="302"/>
      <c r="H78" s="303"/>
    </row>
    <row r="79" spans="4:8" ht="12.75">
      <c r="D79" s="241">
        <v>4</v>
      </c>
      <c r="E79" s="241"/>
      <c r="F79" s="250">
        <f>+(D72-D79*D76)/(D79+1)</f>
        <v>10.08</v>
      </c>
      <c r="G79" s="250"/>
      <c r="H79" s="250"/>
    </row>
    <row r="81" spans="4:8" ht="12.75">
      <c r="D81" s="240" t="s">
        <v>19</v>
      </c>
      <c r="E81" s="240"/>
      <c r="F81" s="240"/>
      <c r="G81" s="6">
        <f>+F76</f>
        <v>6.859756097560976</v>
      </c>
      <c r="H81" t="s">
        <v>53</v>
      </c>
    </row>
    <row r="82" ht="13.5" thickBot="1"/>
    <row r="83" spans="4:7" ht="18">
      <c r="D83" s="69" t="s">
        <v>18</v>
      </c>
      <c r="E83" s="79" t="s">
        <v>175</v>
      </c>
      <c r="F83" s="79" t="s">
        <v>6</v>
      </c>
      <c r="G83" s="75" t="s">
        <v>13</v>
      </c>
    </row>
    <row r="84" spans="1:7" ht="15">
      <c r="A84" s="294" t="s">
        <v>182</v>
      </c>
      <c r="B84" s="294"/>
      <c r="C84" s="295"/>
      <c r="D84" s="67" t="s">
        <v>44</v>
      </c>
      <c r="E84" s="50">
        <f>+D79+F76</f>
        <v>10.859756097560975</v>
      </c>
      <c r="F84" s="50">
        <f>+I72</f>
        <v>60.9255967131447</v>
      </c>
      <c r="G84" s="71">
        <f>+F84+E84</f>
        <v>71.78535281070567</v>
      </c>
    </row>
    <row r="85" spans="4:7" ht="15">
      <c r="D85" s="68" t="s">
        <v>83</v>
      </c>
      <c r="E85" s="77">
        <f>ROUND(+D79*G76,0)</f>
        <v>344</v>
      </c>
      <c r="F85" s="77">
        <f>ROUND(+H72*I72,0)</f>
        <v>755</v>
      </c>
      <c r="G85" s="73">
        <f>+F85+E85</f>
        <v>1099</v>
      </c>
    </row>
    <row r="86" spans="4:7" ht="15.75" thickBot="1">
      <c r="D86" s="70" t="s">
        <v>69</v>
      </c>
      <c r="E86" s="78">
        <f>+H76</f>
        <v>10</v>
      </c>
      <c r="F86" s="78">
        <f>+J72</f>
        <v>10</v>
      </c>
      <c r="G86" s="74">
        <f>(+F85*F86+E85*E86)/G85</f>
        <v>10</v>
      </c>
    </row>
  </sheetData>
  <mergeCells count="35">
    <mergeCell ref="A58:C58"/>
    <mergeCell ref="A14:B14"/>
    <mergeCell ref="C14:D14"/>
    <mergeCell ref="A15:B15"/>
    <mergeCell ref="C15:D15"/>
    <mergeCell ref="A17:C17"/>
    <mergeCell ref="D17:F17"/>
    <mergeCell ref="D49:E49"/>
    <mergeCell ref="F49:H49"/>
    <mergeCell ref="E37:F37"/>
    <mergeCell ref="G17:I17"/>
    <mergeCell ref="A20:C20"/>
    <mergeCell ref="D43:E43"/>
    <mergeCell ref="D44:E44"/>
    <mergeCell ref="E36:F36"/>
    <mergeCell ref="I43:J43"/>
    <mergeCell ref="I44:J44"/>
    <mergeCell ref="A36:B36"/>
    <mergeCell ref="A37:B37"/>
    <mergeCell ref="D79:E79"/>
    <mergeCell ref="F79:H79"/>
    <mergeCell ref="D50:E50"/>
    <mergeCell ref="F50:H50"/>
    <mergeCell ref="D52:F52"/>
    <mergeCell ref="D71:E71"/>
    <mergeCell ref="I70:I71"/>
    <mergeCell ref="A84:C84"/>
    <mergeCell ref="E5:E6"/>
    <mergeCell ref="G5:G6"/>
    <mergeCell ref="D20:F20"/>
    <mergeCell ref="G20:I20"/>
    <mergeCell ref="D81:F81"/>
    <mergeCell ref="D72:E72"/>
    <mergeCell ref="D78:E78"/>
    <mergeCell ref="F78:H78"/>
  </mergeCells>
  <printOptions/>
  <pageMargins left="0.75" right="0.75" top="1" bottom="1" header="0.4921259845" footer="0.4921259845"/>
  <pageSetup cellComments="asDisplayed" fitToHeight="2" horizontalDpi="600" verticalDpi="600" orientation="landscape" scale="90" r:id="rId4"/>
  <headerFooter alignWithMargins="0">
    <oddFooter>&amp;LFichier : &amp;F
Onglet : &amp;A
Page &amp;P de &amp;N&amp;CMine-laboratoire
Val-d'Or&amp;R&amp;D
&amp;T</oddFooter>
  </headerFooter>
  <rowBreaks count="2" manualBreakCount="2">
    <brk id="29" max="255" man="1"/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6384" width="11.421875" style="0" customWidth="1"/>
  </cols>
  <sheetData>
    <row r="1" spans="5:7" ht="14.25">
      <c r="E1" s="218"/>
      <c r="G1" s="232" t="s">
        <v>202</v>
      </c>
    </row>
    <row r="3" ht="13.5" thickBot="1">
      <c r="F3" s="7"/>
    </row>
    <row r="4" spans="1:7" ht="12.75">
      <c r="A4" s="219"/>
      <c r="B4" s="220"/>
      <c r="C4" s="220"/>
      <c r="D4" s="220"/>
      <c r="E4" s="220"/>
      <c r="G4" s="30"/>
    </row>
    <row r="5" spans="1:7" ht="12.75">
      <c r="A5" s="13"/>
      <c r="B5" s="2"/>
      <c r="C5" s="2"/>
      <c r="D5" s="2"/>
      <c r="E5" s="2"/>
      <c r="F5" s="2"/>
      <c r="G5" s="11"/>
    </row>
    <row r="6" spans="1:7" ht="12.75">
      <c r="A6" s="13"/>
      <c r="B6" s="2"/>
      <c r="C6" s="2"/>
      <c r="D6" s="2"/>
      <c r="E6" s="2"/>
      <c r="F6" s="2"/>
      <c r="G6" s="11"/>
    </row>
    <row r="7" spans="1:7" ht="12.75">
      <c r="A7" s="13"/>
      <c r="B7" s="2"/>
      <c r="C7" s="2"/>
      <c r="D7" s="2"/>
      <c r="E7" s="2"/>
      <c r="F7" s="2"/>
      <c r="G7" s="11"/>
    </row>
    <row r="8" spans="1:7" ht="12.75">
      <c r="A8" s="13"/>
      <c r="B8" s="2"/>
      <c r="C8" s="2"/>
      <c r="D8" s="2"/>
      <c r="E8" s="2"/>
      <c r="F8" s="2"/>
      <c r="G8" s="11"/>
    </row>
    <row r="9" spans="1:7" ht="12.75">
      <c r="A9" s="13"/>
      <c r="B9" s="2"/>
      <c r="C9" s="2"/>
      <c r="D9" s="2"/>
      <c r="E9" s="2"/>
      <c r="F9" s="2"/>
      <c r="G9" s="11"/>
    </row>
    <row r="10" spans="1:7" ht="12.75">
      <c r="A10" s="13"/>
      <c r="B10" s="2"/>
      <c r="C10" s="2"/>
      <c r="D10" s="2"/>
      <c r="E10" s="2"/>
      <c r="F10" s="2"/>
      <c r="G10" s="11"/>
    </row>
    <row r="11" spans="1:7" ht="12.75">
      <c r="A11" s="13"/>
      <c r="B11" s="2"/>
      <c r="C11" s="2"/>
      <c r="D11" s="2"/>
      <c r="E11" s="2"/>
      <c r="F11" s="2"/>
      <c r="G11" s="11"/>
    </row>
    <row r="12" spans="1:7" ht="12.75">
      <c r="A12" s="13"/>
      <c r="B12" s="2"/>
      <c r="C12" s="2"/>
      <c r="D12" s="2"/>
      <c r="E12" s="2"/>
      <c r="F12" s="2"/>
      <c r="G12" s="11"/>
    </row>
    <row r="13" spans="1:7" ht="12.75">
      <c r="A13" s="13"/>
      <c r="B13" s="2"/>
      <c r="C13" s="2"/>
      <c r="D13" s="2"/>
      <c r="E13" s="2"/>
      <c r="F13" s="2"/>
      <c r="G13" s="11"/>
    </row>
    <row r="14" spans="1:7" ht="12.75">
      <c r="A14" s="13"/>
      <c r="B14" s="2"/>
      <c r="C14" s="2"/>
      <c r="D14" s="2"/>
      <c r="E14" s="2"/>
      <c r="F14" s="2"/>
      <c r="G14" s="11"/>
    </row>
    <row r="15" spans="1:7" ht="12.75">
      <c r="A15" s="13"/>
      <c r="B15" s="2"/>
      <c r="C15" s="2"/>
      <c r="D15" s="2"/>
      <c r="E15" s="2"/>
      <c r="F15" s="2"/>
      <c r="G15" s="11"/>
    </row>
    <row r="16" spans="1:7" ht="12.75">
      <c r="A16" s="13"/>
      <c r="B16" s="2"/>
      <c r="C16" s="2"/>
      <c r="D16" s="2"/>
      <c r="E16" s="2"/>
      <c r="F16" s="2"/>
      <c r="G16" s="11"/>
    </row>
    <row r="17" spans="1:7" ht="13.5" thickBot="1">
      <c r="A17" s="15"/>
      <c r="B17" s="7"/>
      <c r="C17" s="7"/>
      <c r="D17" s="7"/>
      <c r="E17" s="7"/>
      <c r="F17" s="7"/>
      <c r="G17" s="16"/>
    </row>
    <row r="18" spans="1:7" ht="12.75">
      <c r="A18" s="219"/>
      <c r="B18" s="220"/>
      <c r="C18" s="220"/>
      <c r="D18" s="220"/>
      <c r="E18" s="220"/>
      <c r="F18" s="220"/>
      <c r="G18" s="30"/>
    </row>
    <row r="19" spans="1:7" ht="12.75">
      <c r="A19" s="13"/>
      <c r="B19" s="2"/>
      <c r="C19" s="2"/>
      <c r="D19" s="2"/>
      <c r="E19" s="2"/>
      <c r="F19" s="2"/>
      <c r="G19" s="11"/>
    </row>
    <row r="20" spans="1:7" ht="12.75">
      <c r="A20" s="13"/>
      <c r="B20" s="2"/>
      <c r="C20" s="2"/>
      <c r="D20" s="2"/>
      <c r="E20" s="2"/>
      <c r="F20" s="2"/>
      <c r="G20" s="11"/>
    </row>
    <row r="21" spans="1:7" ht="12.75">
      <c r="A21" s="13"/>
      <c r="B21" s="2"/>
      <c r="C21" s="2"/>
      <c r="D21" s="2"/>
      <c r="E21" s="2"/>
      <c r="F21" s="2"/>
      <c r="G21" s="11"/>
    </row>
    <row r="22" spans="1:7" ht="12.75">
      <c r="A22" s="13"/>
      <c r="B22" s="2"/>
      <c r="C22" s="2"/>
      <c r="D22" s="2"/>
      <c r="E22" s="2"/>
      <c r="F22" s="2"/>
      <c r="G22" s="11"/>
    </row>
    <row r="23" spans="1:7" ht="12.75">
      <c r="A23" s="13"/>
      <c r="B23" s="2"/>
      <c r="C23" s="2"/>
      <c r="D23" s="2"/>
      <c r="E23" s="2"/>
      <c r="F23" s="2"/>
      <c r="G23" s="11"/>
    </row>
    <row r="24" spans="1:7" ht="12.75">
      <c r="A24" s="13"/>
      <c r="B24" s="2"/>
      <c r="C24" s="2"/>
      <c r="D24" s="2"/>
      <c r="E24" s="2"/>
      <c r="F24" s="2"/>
      <c r="G24" s="11"/>
    </row>
    <row r="25" spans="1:7" ht="12.75">
      <c r="A25" s="13"/>
      <c r="B25" s="2"/>
      <c r="C25" s="2"/>
      <c r="D25" s="2"/>
      <c r="E25" s="2"/>
      <c r="F25" s="2"/>
      <c r="G25" s="11"/>
    </row>
    <row r="26" spans="1:7" ht="12.75">
      <c r="A26" s="13"/>
      <c r="B26" s="2"/>
      <c r="C26" s="2"/>
      <c r="D26" s="2"/>
      <c r="E26" s="2"/>
      <c r="F26" s="2"/>
      <c r="G26" s="11"/>
    </row>
    <row r="27" spans="1:7" ht="12.75">
      <c r="A27" s="13"/>
      <c r="B27" s="2"/>
      <c r="C27" s="2"/>
      <c r="D27" s="2"/>
      <c r="E27" s="2"/>
      <c r="F27" s="2"/>
      <c r="G27" s="11"/>
    </row>
    <row r="28" spans="1:7" ht="12.75">
      <c r="A28" s="13"/>
      <c r="B28" s="2"/>
      <c r="C28" s="2"/>
      <c r="D28" s="2"/>
      <c r="E28" s="2"/>
      <c r="F28" s="2"/>
      <c r="G28" s="11"/>
    </row>
    <row r="29" spans="1:7" ht="12.75">
      <c r="A29" s="13"/>
      <c r="B29" s="2"/>
      <c r="C29" s="2"/>
      <c r="D29" s="2"/>
      <c r="E29" s="2"/>
      <c r="F29" s="2"/>
      <c r="G29" s="11"/>
    </row>
    <row r="30" spans="1:7" ht="12.75">
      <c r="A30" s="13"/>
      <c r="B30" s="2"/>
      <c r="C30" s="2"/>
      <c r="D30" s="2"/>
      <c r="E30" s="2"/>
      <c r="F30" s="2"/>
      <c r="G30" s="11"/>
    </row>
    <row r="31" spans="1:7" ht="12.75">
      <c r="A31" s="13"/>
      <c r="B31" s="2"/>
      <c r="C31" s="2"/>
      <c r="D31" s="2"/>
      <c r="E31" s="2"/>
      <c r="F31" s="2"/>
      <c r="G31" s="11"/>
    </row>
    <row r="32" spans="1:7" ht="12.75">
      <c r="A32" s="13"/>
      <c r="B32" s="2"/>
      <c r="C32" s="2"/>
      <c r="D32" s="2"/>
      <c r="E32" s="2"/>
      <c r="F32" s="2"/>
      <c r="G32" s="11"/>
    </row>
    <row r="33" spans="1:7" ht="12.75">
      <c r="A33" s="13"/>
      <c r="B33" s="2"/>
      <c r="C33" s="2"/>
      <c r="D33" s="2"/>
      <c r="E33" s="2"/>
      <c r="F33" s="2"/>
      <c r="G33" s="11"/>
    </row>
    <row r="34" spans="1:7" ht="12.75">
      <c r="A34" s="13"/>
      <c r="B34" s="2"/>
      <c r="C34" s="2"/>
      <c r="D34" s="2"/>
      <c r="E34" s="2"/>
      <c r="F34" s="2"/>
      <c r="G34" s="11"/>
    </row>
    <row r="35" spans="1:7" ht="12.75">
      <c r="A35" s="13"/>
      <c r="B35" s="2"/>
      <c r="C35" s="2"/>
      <c r="D35" s="2"/>
      <c r="E35" s="2"/>
      <c r="F35" s="2"/>
      <c r="G35" s="11"/>
    </row>
    <row r="36" spans="1:7" ht="12.75">
      <c r="A36" s="13"/>
      <c r="B36" s="2"/>
      <c r="C36" s="2"/>
      <c r="D36" s="2"/>
      <c r="E36" s="2"/>
      <c r="F36" s="2"/>
      <c r="G36" s="11"/>
    </row>
    <row r="37" spans="1:7" ht="12.75">
      <c r="A37" s="13"/>
      <c r="B37" s="2"/>
      <c r="C37" s="2"/>
      <c r="D37" s="2"/>
      <c r="E37" s="2"/>
      <c r="F37" s="2"/>
      <c r="G37" s="11"/>
    </row>
    <row r="38" spans="1:7" ht="13.5" thickBot="1">
      <c r="A38" s="15"/>
      <c r="B38" s="7"/>
      <c r="C38" s="7"/>
      <c r="D38" s="7"/>
      <c r="E38" s="7"/>
      <c r="F38" s="7"/>
      <c r="G38" s="16"/>
    </row>
    <row r="39" spans="1:7" ht="12.75">
      <c r="A39" s="219"/>
      <c r="B39" s="220"/>
      <c r="C39" s="220"/>
      <c r="D39" s="220"/>
      <c r="E39" s="220"/>
      <c r="F39" s="220"/>
      <c r="G39" s="30"/>
    </row>
    <row r="40" spans="1:7" ht="12.75">
      <c r="A40" s="13"/>
      <c r="B40" s="2"/>
      <c r="C40" s="2"/>
      <c r="D40" s="2"/>
      <c r="E40" s="2"/>
      <c r="F40" s="2"/>
      <c r="G40" s="11"/>
    </row>
    <row r="41" spans="1:7" ht="12.75">
      <c r="A41" s="13"/>
      <c r="B41" s="2"/>
      <c r="C41" s="2"/>
      <c r="D41" s="2"/>
      <c r="E41" s="2"/>
      <c r="F41" s="2"/>
      <c r="G41" s="11"/>
    </row>
    <row r="42" spans="1:7" ht="12.75">
      <c r="A42" s="13"/>
      <c r="B42" s="2"/>
      <c r="C42" s="2"/>
      <c r="D42" s="2"/>
      <c r="E42" s="2"/>
      <c r="F42" s="2"/>
      <c r="G42" s="11"/>
    </row>
    <row r="43" spans="1:7" ht="12.75">
      <c r="A43" s="13"/>
      <c r="B43" s="2"/>
      <c r="C43" s="2"/>
      <c r="D43" s="2"/>
      <c r="E43" s="2"/>
      <c r="F43" s="2"/>
      <c r="G43" s="11"/>
    </row>
    <row r="44" spans="1:7" ht="12.75">
      <c r="A44" s="13"/>
      <c r="B44" s="2"/>
      <c r="C44" s="2"/>
      <c r="D44" s="2"/>
      <c r="E44" s="2"/>
      <c r="F44" s="2"/>
      <c r="G44" s="11"/>
    </row>
    <row r="45" spans="1:7" ht="12.75">
      <c r="A45" s="13"/>
      <c r="B45" s="2"/>
      <c r="C45" s="2"/>
      <c r="D45" s="2"/>
      <c r="E45" s="2"/>
      <c r="F45" s="2"/>
      <c r="G45" s="11"/>
    </row>
    <row r="46" spans="1:7" ht="12.75">
      <c r="A46" s="13"/>
      <c r="B46" s="2"/>
      <c r="C46" s="2"/>
      <c r="D46" s="2"/>
      <c r="E46" s="2"/>
      <c r="F46" s="2"/>
      <c r="G46" s="11"/>
    </row>
    <row r="47" spans="1:7" ht="12.75">
      <c r="A47" s="13"/>
      <c r="B47" s="2"/>
      <c r="C47" s="2"/>
      <c r="D47" s="2"/>
      <c r="E47" s="2"/>
      <c r="F47" s="2"/>
      <c r="G47" s="11"/>
    </row>
    <row r="48" spans="1:7" ht="12.75">
      <c r="A48" s="13"/>
      <c r="B48" s="2"/>
      <c r="C48" s="2"/>
      <c r="D48" s="2"/>
      <c r="E48" s="2"/>
      <c r="F48" s="2"/>
      <c r="G48" s="11"/>
    </row>
    <row r="49" spans="1:7" ht="12.75">
      <c r="A49" s="13"/>
      <c r="B49" s="2"/>
      <c r="C49" s="2"/>
      <c r="D49" s="2"/>
      <c r="E49" s="2"/>
      <c r="F49" s="2"/>
      <c r="G49" s="11"/>
    </row>
    <row r="50" spans="1:7" ht="12.75">
      <c r="A50" s="13"/>
      <c r="B50" s="2"/>
      <c r="C50" s="2"/>
      <c r="D50" s="2"/>
      <c r="E50" s="2"/>
      <c r="F50" s="2"/>
      <c r="G50" s="11"/>
    </row>
    <row r="51" spans="1:7" ht="12.75">
      <c r="A51" s="13"/>
      <c r="B51" s="2"/>
      <c r="C51" s="2"/>
      <c r="D51" s="2"/>
      <c r="E51" s="2"/>
      <c r="F51" s="2"/>
      <c r="G51" s="11"/>
    </row>
    <row r="52" spans="1:7" ht="12.75">
      <c r="A52" s="13"/>
      <c r="B52" s="2"/>
      <c r="C52" s="2"/>
      <c r="D52" s="2"/>
      <c r="E52" s="2"/>
      <c r="F52" s="2"/>
      <c r="G52" s="11"/>
    </row>
    <row r="53" spans="1:7" ht="12.75">
      <c r="A53" s="13"/>
      <c r="B53" s="2"/>
      <c r="C53" s="2"/>
      <c r="D53" s="2"/>
      <c r="E53" s="2"/>
      <c r="F53" s="2"/>
      <c r="G53" s="11"/>
    </row>
    <row r="54" spans="1:7" ht="12.75">
      <c r="A54" s="13"/>
      <c r="B54" s="2"/>
      <c r="C54" s="2"/>
      <c r="D54" s="2"/>
      <c r="E54" s="2"/>
      <c r="F54" s="2"/>
      <c r="G54" s="11"/>
    </row>
    <row r="55" spans="1:7" ht="12.75">
      <c r="A55" s="13"/>
      <c r="B55" s="2"/>
      <c r="C55" s="2"/>
      <c r="D55" s="2"/>
      <c r="E55" s="2"/>
      <c r="F55" s="2"/>
      <c r="G55" s="11"/>
    </row>
    <row r="56" spans="1:7" ht="12.75">
      <c r="A56" s="13"/>
      <c r="B56" s="2"/>
      <c r="C56" s="2"/>
      <c r="D56" s="2"/>
      <c r="E56" s="2"/>
      <c r="F56" s="2"/>
      <c r="G56" s="11"/>
    </row>
    <row r="57" spans="1:7" ht="12.75">
      <c r="A57" s="13"/>
      <c r="B57" s="2"/>
      <c r="C57" s="2"/>
      <c r="D57" s="2"/>
      <c r="E57" s="2"/>
      <c r="F57" s="2"/>
      <c r="G57" s="11"/>
    </row>
    <row r="58" spans="1:7" ht="12.75">
      <c r="A58" s="13"/>
      <c r="B58" s="2"/>
      <c r="C58" s="2"/>
      <c r="D58" s="2"/>
      <c r="E58" s="2"/>
      <c r="F58" s="2"/>
      <c r="G58" s="11"/>
    </row>
    <row r="59" spans="1:7" ht="12.75">
      <c r="A59" s="13"/>
      <c r="B59" s="2"/>
      <c r="C59" s="2"/>
      <c r="D59" s="2"/>
      <c r="E59" s="2"/>
      <c r="F59" s="2"/>
      <c r="G59" s="11"/>
    </row>
    <row r="60" spans="1:7" ht="12.75">
      <c r="A60" s="13"/>
      <c r="B60" s="2"/>
      <c r="C60" s="2"/>
      <c r="D60" s="2"/>
      <c r="E60" s="2"/>
      <c r="F60" s="2"/>
      <c r="G60" s="11"/>
    </row>
    <row r="61" spans="1:7" ht="13.5" thickBot="1">
      <c r="A61" s="15"/>
      <c r="B61" s="7"/>
      <c r="C61" s="7"/>
      <c r="D61" s="7"/>
      <c r="E61" s="7"/>
      <c r="F61" s="7"/>
      <c r="G61" s="16"/>
    </row>
    <row r="62" spans="1:7" ht="12.75">
      <c r="A62" s="219"/>
      <c r="B62" s="220"/>
      <c r="C62" s="220"/>
      <c r="D62" s="220"/>
      <c r="E62" s="220"/>
      <c r="F62" s="220"/>
      <c r="G62" s="30"/>
    </row>
    <row r="63" spans="1:7" ht="12.75">
      <c r="A63" s="13"/>
      <c r="B63" s="2"/>
      <c r="C63" s="2"/>
      <c r="D63" s="2"/>
      <c r="E63" s="2"/>
      <c r="F63" s="2"/>
      <c r="G63" s="11"/>
    </row>
    <row r="64" spans="1:7" ht="12.75">
      <c r="A64" s="13"/>
      <c r="B64" s="2"/>
      <c r="C64" s="2"/>
      <c r="D64" s="2"/>
      <c r="E64" s="2"/>
      <c r="F64" s="2"/>
      <c r="G64" s="11"/>
    </row>
    <row r="65" spans="1:7" ht="12.75">
      <c r="A65" s="13"/>
      <c r="B65" s="2"/>
      <c r="C65" s="2"/>
      <c r="D65" s="2"/>
      <c r="E65" s="2"/>
      <c r="F65" s="2"/>
      <c r="G65" s="11"/>
    </row>
    <row r="66" spans="1:7" ht="12.75">
      <c r="A66" s="13"/>
      <c r="B66" s="2"/>
      <c r="C66" s="2"/>
      <c r="D66" s="2"/>
      <c r="E66" s="2"/>
      <c r="F66" s="2"/>
      <c r="G66" s="11"/>
    </row>
    <row r="67" spans="1:7" ht="12.75">
      <c r="A67" s="13"/>
      <c r="B67" s="2"/>
      <c r="C67" s="2"/>
      <c r="D67" s="2"/>
      <c r="E67" s="2"/>
      <c r="F67" s="2"/>
      <c r="G67" s="11"/>
    </row>
    <row r="68" spans="1:7" ht="12.75">
      <c r="A68" s="13"/>
      <c r="B68" s="2"/>
      <c r="C68" s="2"/>
      <c r="D68" s="2"/>
      <c r="E68" s="2"/>
      <c r="F68" s="2"/>
      <c r="G68" s="11"/>
    </row>
    <row r="69" spans="1:7" ht="12.75">
      <c r="A69" s="13"/>
      <c r="B69" s="2"/>
      <c r="C69" s="2"/>
      <c r="D69" s="2"/>
      <c r="E69" s="2"/>
      <c r="F69" s="2"/>
      <c r="G69" s="11"/>
    </row>
    <row r="70" spans="1:7" ht="12.75">
      <c r="A70" s="13"/>
      <c r="B70" s="2"/>
      <c r="C70" s="2"/>
      <c r="D70" s="2"/>
      <c r="E70" s="2"/>
      <c r="F70" s="2"/>
      <c r="G70" s="11"/>
    </row>
    <row r="71" spans="1:7" ht="12.75">
      <c r="A71" s="13"/>
      <c r="B71" s="2"/>
      <c r="C71" s="2"/>
      <c r="D71" s="2"/>
      <c r="E71" s="2"/>
      <c r="F71" s="2"/>
      <c r="G71" s="11"/>
    </row>
    <row r="72" spans="1:7" ht="12.75">
      <c r="A72" s="13"/>
      <c r="B72" s="2"/>
      <c r="C72" s="2"/>
      <c r="D72" s="2"/>
      <c r="E72" s="2"/>
      <c r="F72" s="2"/>
      <c r="G72" s="11"/>
    </row>
    <row r="73" spans="1:7" ht="12.75">
      <c r="A73" s="13"/>
      <c r="B73" s="2"/>
      <c r="C73" s="2"/>
      <c r="D73" s="2"/>
      <c r="E73" s="2"/>
      <c r="F73" s="2"/>
      <c r="G73" s="11"/>
    </row>
    <row r="74" spans="1:7" ht="12.75">
      <c r="A74" s="13"/>
      <c r="B74" s="2"/>
      <c r="C74" s="2"/>
      <c r="D74" s="2"/>
      <c r="E74" s="2"/>
      <c r="F74" s="2"/>
      <c r="G74" s="11"/>
    </row>
    <row r="75" spans="1:7" ht="13.5" thickBot="1">
      <c r="A75" s="15"/>
      <c r="B75" s="7"/>
      <c r="C75" s="7"/>
      <c r="D75" s="7"/>
      <c r="E75" s="7"/>
      <c r="F75" s="7"/>
      <c r="G75" s="16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&amp;LFichier : &amp;F
Onglet : &amp;A
Page &amp;P de &amp;N&amp;CMine-laboratoire
Val-d'Or&amp;R&amp;D
&amp;T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2002-12-18T14:22:15Z</cp:lastPrinted>
  <dcterms:created xsi:type="dcterms:W3CDTF">2000-06-27T14:00:10Z</dcterms:created>
  <dcterms:modified xsi:type="dcterms:W3CDTF">2002-12-19T15:55:55Z</dcterms:modified>
  <cp:category/>
  <cp:version/>
  <cp:contentType/>
  <cp:contentStatus/>
</cp:coreProperties>
</file>