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80" activeTab="0"/>
  </bookViews>
  <sheets>
    <sheet name="Stope" sheetId="1" r:id="rId1"/>
    <sheet name="Development" sheetId="2" r:id="rId2"/>
    <sheet name="Drawings" sheetId="3" r:id="rId3"/>
  </sheets>
  <definedNames>
    <definedName name="_xlnm.Print_Area" localSheetId="0">'Stope'!$A$4:$I$232</definedName>
    <definedName name="_xlnm.Print_Titles" localSheetId="0">'Stope'!$1:$3</definedName>
  </definedNames>
  <calcPr fullCalcOnLoad="1"/>
</workbook>
</file>

<file path=xl/comments1.xml><?xml version="1.0" encoding="utf-8"?>
<comments xmlns="http://schemas.openxmlformats.org/spreadsheetml/2006/main">
  <authors>
    <author>rolacroi</author>
  </authors>
  <commentList>
    <comment ref="E13" authorId="0">
      <text>
        <r>
          <rPr>
            <b/>
            <sz val="10"/>
            <rFont val="Tahoma"/>
            <family val="2"/>
          </rPr>
          <t>Extra dilution to the one already included in the geological reserves.
See "Stope_Dilution" file if you wish to verify your estimate.</t>
        </r>
      </text>
    </comment>
    <comment ref="C118" authorId="0">
      <text>
        <r>
          <rPr>
            <b/>
            <sz val="10"/>
            <rFont val="Tahoma"/>
            <family val="2"/>
          </rPr>
          <t>See "Development" sheet to determine the lost tonnage</t>
        </r>
      </text>
    </comment>
    <comment ref="B8" authorId="0">
      <text>
        <r>
          <rPr>
            <b/>
            <sz val="10"/>
            <rFont val="Tahoma"/>
            <family val="2"/>
          </rPr>
          <t>Measured perpendicularly to the vein</t>
        </r>
      </text>
    </comment>
    <comment ref="D132" authorId="0">
      <text>
        <r>
          <rPr>
            <b/>
            <sz val="10"/>
            <rFont val="Tahoma"/>
            <family val="2"/>
          </rPr>
          <t>Enter the number of active stopes in relation to the desired production level</t>
        </r>
      </text>
    </comment>
    <comment ref="D65" authorId="0">
      <text>
        <r>
          <rPr>
            <b/>
            <sz val="11"/>
            <rFont val="Tahoma"/>
            <family val="2"/>
          </rPr>
          <t xml:space="preserve">This percentage increases the development time (see cells E96 and E97)
</t>
        </r>
      </text>
    </comment>
    <comment ref="D105" authorId="0">
      <text>
        <r>
          <rPr>
            <b/>
            <sz val="10"/>
            <rFont val="Tahoma"/>
            <family val="2"/>
          </rPr>
          <t>See "Productivity_Shrinkage Stope"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>file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>if you wish to verify the productivity for your operation</t>
        </r>
        <r>
          <rPr>
            <sz val="10"/>
            <rFont val="Tahoma"/>
            <family val="2"/>
          </rPr>
          <t xml:space="preserve">
</t>
        </r>
      </text>
    </comment>
    <comment ref="I81" authorId="0">
      <text>
        <r>
          <rPr>
            <b/>
            <sz val="11"/>
            <rFont val="Tahoma"/>
            <family val="2"/>
          </rPr>
          <t>Identify the critical path by entering different figures</t>
        </r>
      </text>
    </comment>
    <comment ref="C9" authorId="0">
      <text>
        <r>
          <rPr>
            <b/>
            <sz val="10"/>
            <rFont val="Tahoma"/>
            <family val="2"/>
          </rPr>
          <t>Height of the stope to be mined, including the sub-level</t>
        </r>
      </text>
    </comment>
    <comment ref="I71" authorId="0">
      <text>
        <r>
          <rPr>
            <b/>
            <sz val="11"/>
            <rFont val="Tahoma"/>
            <family val="2"/>
          </rPr>
          <t>Identify the critical path by entering different figures</t>
        </r>
      </text>
    </comment>
  </commentList>
</comments>
</file>

<file path=xl/comments2.xml><?xml version="1.0" encoding="utf-8"?>
<comments xmlns="http://schemas.openxmlformats.org/spreadsheetml/2006/main">
  <authors>
    <author>rolacroi</author>
  </authors>
  <commentList>
    <comment ref="C14" authorId="0">
      <text>
        <r>
          <rPr>
            <b/>
            <sz val="10"/>
            <rFont val="Tahoma"/>
            <family val="2"/>
          </rPr>
          <t>If the drawpoint is still filled with ore, you must enter "0" in the drawpoint width</t>
        </r>
      </text>
    </comment>
  </commentList>
</comments>
</file>

<file path=xl/sharedStrings.xml><?xml version="1.0" encoding="utf-8"?>
<sst xmlns="http://schemas.openxmlformats.org/spreadsheetml/2006/main" count="369" uniqueCount="199">
  <si>
    <t>tonnes</t>
  </si>
  <si>
    <t>TOTAL</t>
  </si>
  <si>
    <t>Dimensions</t>
  </si>
  <si>
    <t xml:space="preserve">TOTAL </t>
  </si>
  <si>
    <t>°</t>
  </si>
  <si>
    <t>Total</t>
  </si>
  <si>
    <t>.</t>
  </si>
  <si>
    <t>tonnes/m³</t>
  </si>
  <si>
    <t>Volume (m³)</t>
  </si>
  <si>
    <t>factor</t>
  </si>
  <si>
    <t>Ore (reserves)</t>
  </si>
  <si>
    <t>2.1 - Development parameters</t>
  </si>
  <si>
    <t xml:space="preserve"> # of men</t>
  </si>
  <si>
    <t>Timbered raise</t>
  </si>
  <si>
    <t>Sub-level 1</t>
  </si>
  <si>
    <t>Sub-level 2</t>
  </si>
  <si>
    <t>BY THE UPPER</t>
  </si>
  <si>
    <t>LEVEL</t>
  </si>
  <si>
    <t>BY THE LOWER</t>
  </si>
  <si>
    <t>Raise</t>
  </si>
  <si>
    <t>Sub-level 3</t>
  </si>
  <si>
    <t>shifts</t>
  </si>
  <si>
    <t>working days</t>
  </si>
  <si>
    <t>Upper level</t>
  </si>
  <si>
    <t>Raises</t>
  </si>
  <si>
    <t># of shifts/day</t>
  </si>
  <si>
    <t>Sequence</t>
  </si>
  <si>
    <t>(WORKING DAYS)</t>
  </si>
  <si>
    <t>men</t>
  </si>
  <si>
    <t>3.2 - Stope life calculation</t>
  </si>
  <si>
    <t>tonnes/shift</t>
  </si>
  <si>
    <t>Stope life (production)</t>
  </si>
  <si>
    <t>months</t>
  </si>
  <si>
    <t>4.0 - Backfilling</t>
  </si>
  <si>
    <t>Others</t>
  </si>
  <si>
    <t>Drifts</t>
  </si>
  <si>
    <t>Number of barricades</t>
  </si>
  <si>
    <t>Number of days/barricade</t>
  </si>
  <si>
    <t>Number of required shifts</t>
  </si>
  <si>
    <t>tonnes/hour</t>
  </si>
  <si>
    <t>shifts/day</t>
  </si>
  <si>
    <t>or</t>
  </si>
  <si>
    <t>DEVELOPMENT</t>
  </si>
  <si>
    <t>Diluted ore (Dev.)</t>
  </si>
  <si>
    <t>Ore from reserves</t>
  </si>
  <si>
    <t>Waste</t>
  </si>
  <si>
    <t>STOPE</t>
  </si>
  <si>
    <t>Width</t>
  </si>
  <si>
    <t>Vertical height</t>
  </si>
  <si>
    <t>Dip</t>
  </si>
  <si>
    <t>Density</t>
  </si>
  <si>
    <t>DEVELOPMENT + STOPE</t>
  </si>
  <si>
    <t>Length</t>
  </si>
  <si>
    <t>Length (m)</t>
  </si>
  <si>
    <t>Width (m)</t>
  </si>
  <si>
    <t>Vertical height (m)</t>
  </si>
  <si>
    <t>Dip (°)</t>
  </si>
  <si>
    <t>Density (t/m³)</t>
  </si>
  <si>
    <t>Swell</t>
  </si>
  <si>
    <t>Tonnage</t>
  </si>
  <si>
    <t>Grade (g/t)</t>
  </si>
  <si>
    <t xml:space="preserve">Dilution </t>
  </si>
  <si>
    <t>Milled ore</t>
  </si>
  <si>
    <t>2.0 - Stope development</t>
  </si>
  <si>
    <t>Drift 1</t>
  </si>
  <si>
    <t>Drift 2</t>
  </si>
  <si>
    <t>Drawpoints</t>
  </si>
  <si>
    <t>Alimak raise</t>
  </si>
  <si>
    <t>Tonnes/meter</t>
  </si>
  <si>
    <t>Dilution</t>
  </si>
  <si>
    <t>Diluted grade (g/t)</t>
  </si>
  <si>
    <t>Tonnes</t>
  </si>
  <si>
    <t>Upper drifts</t>
  </si>
  <si>
    <t>Stope access</t>
  </si>
  <si>
    <t>Lower drifts</t>
  </si>
  <si>
    <t>2.3 - Development schedule parameters</t>
  </si>
  <si>
    <t>Number of shifts/day</t>
  </si>
  <si>
    <t>Number of working days/month</t>
  </si>
  <si>
    <t>Height</t>
  </si>
  <si>
    <t>2.4 - Calculation of the development time</t>
  </si>
  <si>
    <t>Advances/shift</t>
  </si>
  <si>
    <t xml:space="preserve">Number of </t>
  </si>
  <si>
    <t>installation days</t>
  </si>
  <si>
    <t>Lower level</t>
  </si>
  <si>
    <t>Time +</t>
  </si>
  <si>
    <t>Contingency  =</t>
  </si>
  <si>
    <t>Contingency</t>
  </si>
  <si>
    <t>DEVELOPMENT TIME</t>
  </si>
  <si>
    <t>Productivity</t>
  </si>
  <si>
    <t>Number of men/shift</t>
  </si>
  <si>
    <t>Milling days/year</t>
  </si>
  <si>
    <t>3.1 - Mining parameters</t>
  </si>
  <si>
    <t>tonnes/manshift</t>
  </si>
  <si>
    <t>Broken tonnes/day (in production)</t>
  </si>
  <si>
    <t>Remaining tonnage inside the stope</t>
  </si>
  <si>
    <t>Time required to muck the rest of the stope</t>
  </si>
  <si>
    <t>Actual tonnage/day</t>
  </si>
  <si>
    <t xml:space="preserve"> = Recovered tonnage inside the stope</t>
  </si>
  <si>
    <t>to maintain a maximum productivity with</t>
  </si>
  <si>
    <t>Average milled tonnage/day (annual basis)</t>
  </si>
  <si>
    <r>
      <t>3</t>
    </r>
    <r>
      <rPr>
        <i/>
        <u val="single"/>
        <sz val="12"/>
        <rFont val="Arial Black"/>
        <family val="2"/>
      </rPr>
      <t>.3.1 - Calculation of the number of stopes in the development phase to maintain the production rate</t>
    </r>
  </si>
  <si>
    <t>Actual ore tonnage/day</t>
  </si>
  <si>
    <t>Average milled ore tonnage/day                      (annual basis)</t>
  </si>
  <si>
    <t>Total tonnage</t>
  </si>
  <si>
    <t>Volume to backfill</t>
  </si>
  <si>
    <t>m³</t>
  </si>
  <si>
    <t xml:space="preserve"> - Construction of barricades</t>
  </si>
  <si>
    <t>Backfilling capacity (solid tonnes/hour)</t>
  </si>
  <si>
    <t>Effective backfilling time per shift</t>
  </si>
  <si>
    <t>effective hours/shift</t>
  </si>
  <si>
    <t>Working days</t>
  </si>
  <si>
    <t xml:space="preserve"> - Total time required</t>
  </si>
  <si>
    <t xml:space="preserve"> - Backfilling time</t>
  </si>
  <si>
    <t xml:space="preserve"> (in accordance with the development schedule entered in section 2.3)</t>
  </si>
  <si>
    <t>Ore</t>
  </si>
  <si>
    <t>Other openings</t>
  </si>
  <si>
    <t>ounces</t>
  </si>
  <si>
    <t>Reserves</t>
  </si>
  <si>
    <t>meters</t>
  </si>
  <si>
    <t>Lost ore between DP</t>
  </si>
  <si>
    <t>Milled ore *</t>
  </si>
  <si>
    <t>Ounces</t>
  </si>
  <si>
    <t xml:space="preserve"> </t>
  </si>
  <si>
    <t>Milled ore from development</t>
  </si>
  <si>
    <t>Milled ore from the stope</t>
  </si>
  <si>
    <t>M advanced /shift</t>
  </si>
  <si>
    <t>M advanced        /manshift</t>
  </si>
  <si>
    <t>T/m advanced</t>
  </si>
  <si>
    <t># required days</t>
  </si>
  <si>
    <t>Typical stope</t>
  </si>
  <si>
    <r>
      <t>Note</t>
    </r>
    <r>
      <rPr>
        <b/>
        <sz val="10"/>
        <rFont val="Arial"/>
        <family val="2"/>
      </rPr>
      <t xml:space="preserve">:  </t>
    </r>
    <r>
      <rPr>
        <sz val="10"/>
        <rFont val="Arial"/>
        <family val="2"/>
      </rPr>
      <t>The calculations presume that the work schedule is the same for production and development.</t>
    </r>
  </si>
  <si>
    <t>MINED ORE CALCULATION FROM ORIGINAL RESERVES DURING STOPE DEVELOPMENT</t>
  </si>
  <si>
    <t>5.0 - Compilation</t>
  </si>
  <si>
    <t>Thickness of pillar between the raise and the stope</t>
  </si>
  <si>
    <t>Drawpoint parameters</t>
  </si>
  <si>
    <t>Physical parameters</t>
  </si>
  <si>
    <t>Density           (t/m³)</t>
  </si>
  <si>
    <t>Number</t>
  </si>
  <si>
    <t>Actual spacing</t>
  </si>
  <si>
    <t>Height (m)</t>
  </si>
  <si>
    <t>Planned spacing (m)</t>
  </si>
  <si>
    <t>Drawpoints at both ends</t>
  </si>
  <si>
    <t>No drawpoint at both ends</t>
  </si>
  <si>
    <t>One drawpoint at one end</t>
  </si>
  <si>
    <t>Central raise in the ore</t>
  </si>
  <si>
    <t>Horizontal distance (m)</t>
  </si>
  <si>
    <t>Central raise in the waste in a wall with regularly spaced sub-levels</t>
  </si>
  <si>
    <t>Vertical difference (m)</t>
  </si>
  <si>
    <t>RAISE</t>
  </si>
  <si>
    <t>T/m avanced</t>
  </si>
  <si>
    <t>Friction angle</t>
  </si>
  <si>
    <t>of the ore (°)</t>
  </si>
  <si>
    <t>Raise length</t>
  </si>
  <si>
    <t>SUB-LEVELS</t>
  </si>
  <si>
    <t>Sub-level width</t>
  </si>
  <si>
    <t>Sub-level length</t>
  </si>
  <si>
    <t>T/sub-level</t>
  </si>
  <si>
    <t>Number of sub-levels</t>
  </si>
  <si>
    <t>Actual spacing between sub-levels (m)</t>
  </si>
  <si>
    <t>Sub-levels</t>
  </si>
  <si>
    <t>Compilation</t>
  </si>
  <si>
    <t>Cross-section</t>
  </si>
  <si>
    <t>Sub-level height</t>
  </si>
  <si>
    <t>Longitudinal view</t>
  </si>
  <si>
    <t>Mined tonnage from the stope (dilution included)</t>
  </si>
  <si>
    <t>a minimum number of active stopes.</t>
  </si>
  <si>
    <t xml:space="preserve">   during stope development.</t>
  </si>
  <si>
    <t>2.0 - Stope development (cont'd)</t>
  </si>
  <si>
    <t>Lost ore between drawpoints</t>
  </si>
  <si>
    <t>Openings for Alimak</t>
  </si>
  <si>
    <t>Slope distance (m)</t>
  </si>
  <si>
    <t xml:space="preserve"> -  Lost ore between drawpoints</t>
  </si>
  <si>
    <t>In order to maintain a constant production rate, the number of production stopes must be proportional to the number of stopes in the final mucking phase.</t>
  </si>
  <si>
    <t>4.2 - Calculation of the time required to backfill</t>
  </si>
  <si>
    <t>Mill recovery</t>
  </si>
  <si>
    <t>Raise in the ore at one end with sub-levels</t>
  </si>
  <si>
    <t>In order to maintain a constant production rate, the number of production stopes must be proportional to the number of stopes in the development phase.</t>
  </si>
  <si>
    <t>4.1 - Calculation of the volume to backfill</t>
  </si>
  <si>
    <r>
      <t xml:space="preserve">2.2 - Required development </t>
    </r>
    <r>
      <rPr>
        <sz val="11"/>
        <rFont val="Arial Black"/>
        <family val="2"/>
      </rPr>
      <t>(see "Development" sheet)</t>
    </r>
  </si>
  <si>
    <t>* The milled ore from the stope originates from the diluted geological reserves (section 1.0) minus the portion of the mined reserves</t>
  </si>
  <si>
    <t>In situ backfill density</t>
  </si>
  <si>
    <t>1.0 - Physical parameters of the stope</t>
  </si>
  <si>
    <t>Drawpoint width (m)</t>
  </si>
  <si>
    <t>Shrinkage Stope Evaluation</t>
  </si>
  <si>
    <t xml:space="preserve">3.0 - Stope production calculation </t>
  </si>
  <si>
    <t>an optimum ratio of the production time over the final mucking time which is equal to</t>
  </si>
  <si>
    <t>Number of stopes (production phase)</t>
  </si>
  <si>
    <t>an optimum ratio of the production time over the development time which is equal to</t>
  </si>
  <si>
    <t>Number of stopes (development phase)</t>
  </si>
  <si>
    <t>Open raise</t>
  </si>
  <si>
    <t>Mucked tonnes/day (in production)</t>
  </si>
  <si>
    <r>
      <t>Note</t>
    </r>
    <r>
      <rPr>
        <b/>
        <sz val="10"/>
        <rFont val="Arial"/>
        <family val="2"/>
      </rPr>
      <t xml:space="preserve">:  </t>
    </r>
    <r>
      <rPr>
        <sz val="10"/>
        <rFont val="Arial"/>
        <family val="2"/>
      </rPr>
      <t>The calculations presume that the work schedule is the same for production and ore mucking.</t>
    </r>
  </si>
  <si>
    <t>Version:  December 18, 2002</t>
  </si>
  <si>
    <t>Raise configurations depending on its position in relation to the stope</t>
  </si>
  <si>
    <t xml:space="preserve"> - Typical stope</t>
  </si>
  <si>
    <t xml:space="preserve"> - Drawpoint parameters</t>
  </si>
  <si>
    <t>Tonnes/shift (final mucking of the stope)</t>
  </si>
  <si>
    <t>Number of stopes (final mucking phase)</t>
  </si>
  <si>
    <r>
      <t>3</t>
    </r>
    <r>
      <rPr>
        <i/>
        <u val="single"/>
        <sz val="12"/>
        <rFont val="Arial Black"/>
        <family val="2"/>
      </rPr>
      <t>.3 - Calculation of production with relation to the number of active stopes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</si>
</sst>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#,##0.0"/>
    <numFmt numFmtId="179" formatCode="#,##0.000"/>
  </numFmts>
  <fonts count="26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u val="single"/>
      <sz val="14"/>
      <name val="Arial Black"/>
      <family val="2"/>
    </font>
    <font>
      <b/>
      <u val="single"/>
      <sz val="10"/>
      <name val="Arial"/>
      <family val="2"/>
    </font>
    <font>
      <u val="single"/>
      <sz val="12"/>
      <name val="Arial Black"/>
      <family val="2"/>
    </font>
    <font>
      <u val="single"/>
      <sz val="18"/>
      <name val="Arial Black"/>
      <family val="2"/>
    </font>
    <font>
      <b/>
      <sz val="16"/>
      <name val="Arial"/>
      <family val="2"/>
    </font>
    <font>
      <sz val="12"/>
      <name val="Arial Black"/>
      <family val="2"/>
    </font>
    <font>
      <b/>
      <sz val="14"/>
      <name val="Arial"/>
      <family val="2"/>
    </font>
    <font>
      <sz val="11"/>
      <name val="Arial Black"/>
      <family val="2"/>
    </font>
    <font>
      <u val="single"/>
      <sz val="16"/>
      <name val="Arial Black"/>
      <family val="2"/>
    </font>
    <font>
      <i/>
      <u val="single"/>
      <sz val="12"/>
      <name val="Arial Black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name val="Arial Black"/>
      <family val="2"/>
    </font>
    <font>
      <b/>
      <sz val="20"/>
      <name val="Arial Black"/>
      <family val="2"/>
    </font>
    <font>
      <b/>
      <sz val="11"/>
      <name val="Tahoma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19" applyAlignment="1">
      <alignment horizontal="center"/>
    </xf>
    <xf numFmtId="9" fontId="0" fillId="0" borderId="0" xfId="19" applyFont="1" applyAlignment="1">
      <alignment horizontal="center"/>
    </xf>
    <xf numFmtId="0" fontId="8" fillId="0" borderId="0" xfId="0" applyFont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indent="1"/>
    </xf>
    <xf numFmtId="0" fontId="3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0" fontId="12" fillId="0" borderId="0" xfId="0" applyFont="1" applyAlignment="1">
      <alignment/>
    </xf>
    <xf numFmtId="2" fontId="6" fillId="2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left" indent="1"/>
    </xf>
    <xf numFmtId="4" fontId="0" fillId="2" borderId="2" xfId="0" applyNumberForma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2" borderId="1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/>
    </xf>
    <xf numFmtId="164" fontId="6" fillId="2" borderId="7" xfId="0" applyNumberFormat="1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1" fontId="6" fillId="2" borderId="21" xfId="0" applyNumberFormat="1" applyFont="1" applyFill="1" applyBorder="1" applyAlignment="1">
      <alignment horizontal="center"/>
    </xf>
    <xf numFmtId="2" fontId="6" fillId="2" borderId="17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23" xfId="0" applyBorder="1" applyAlignment="1">
      <alignment/>
    </xf>
    <xf numFmtId="0" fontId="6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9" fontId="2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left" indent="6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21" xfId="0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5" borderId="28" xfId="0" applyFont="1" applyFill="1" applyBorder="1" applyAlignment="1">
      <alignment/>
    </xf>
    <xf numFmtId="164" fontId="6" fillId="0" borderId="26" xfId="0" applyNumberFormat="1" applyFont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6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16" fillId="0" borderId="0" xfId="0" applyFont="1" applyAlignment="1">
      <alignment/>
    </xf>
    <xf numFmtId="0" fontId="13" fillId="0" borderId="0" xfId="0" applyFont="1" applyAlignment="1">
      <alignment horizontal="left" indent="1"/>
    </xf>
    <xf numFmtId="164" fontId="0" fillId="4" borderId="2" xfId="0" applyNumberForma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" xfId="0" applyFill="1" applyBorder="1" applyAlignment="1">
      <alignment/>
    </xf>
    <xf numFmtId="2" fontId="0" fillId="4" borderId="2" xfId="0" applyNumberFormat="1" applyFill="1" applyBorder="1" applyAlignment="1">
      <alignment horizontal="center"/>
    </xf>
    <xf numFmtId="9" fontId="0" fillId="4" borderId="2" xfId="19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9" fontId="0" fillId="4" borderId="10" xfId="19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9" fontId="0" fillId="4" borderId="0" xfId="19" applyFill="1" applyBorder="1" applyAlignment="1">
      <alignment horizontal="center"/>
    </xf>
    <xf numFmtId="2" fontId="0" fillId="4" borderId="29" xfId="0" applyNumberForma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9" fontId="0" fillId="4" borderId="2" xfId="19" applyFill="1" applyBorder="1" applyAlignment="1">
      <alignment/>
    </xf>
    <xf numFmtId="164" fontId="3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" fontId="3" fillId="2" borderId="1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4" borderId="2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0" borderId="0" xfId="0" applyFont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21" fillId="0" borderId="0" xfId="0" applyFont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/>
    </xf>
    <xf numFmtId="0" fontId="3" fillId="0" borderId="0" xfId="0" applyFont="1" applyAlignment="1">
      <alignment horizontal="right"/>
    </xf>
    <xf numFmtId="0" fontId="3" fillId="4" borderId="0" xfId="0" applyFont="1" applyFill="1" applyAlignment="1">
      <alignment horizontal="left" indent="2"/>
    </xf>
    <xf numFmtId="0" fontId="3" fillId="2" borderId="19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" borderId="19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/>
    </xf>
    <xf numFmtId="1" fontId="0" fillId="2" borderId="31" xfId="0" applyNumberFormat="1" applyFill="1" applyBorder="1" applyAlignment="1">
      <alignment/>
    </xf>
    <xf numFmtId="2" fontId="0" fillId="2" borderId="29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1" fontId="0" fillId="2" borderId="37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1" fontId="0" fillId="0" borderId="39" xfId="0" applyNumberFormat="1" applyBorder="1" applyAlignment="1">
      <alignment/>
    </xf>
    <xf numFmtId="3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right"/>
    </xf>
    <xf numFmtId="2" fontId="2" fillId="2" borderId="26" xfId="0" applyNumberFormat="1" applyFont="1" applyFill="1" applyBorder="1" applyAlignment="1">
      <alignment/>
    </xf>
    <xf numFmtId="0" fontId="2" fillId="2" borderId="40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" fillId="6" borderId="43" xfId="0" applyFont="1" applyFill="1" applyBorder="1" applyAlignment="1">
      <alignment/>
    </xf>
    <xf numFmtId="0" fontId="3" fillId="6" borderId="44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0" fillId="4" borderId="37" xfId="0" applyFill="1" applyBorder="1" applyAlignment="1">
      <alignment/>
    </xf>
    <xf numFmtId="0" fontId="6" fillId="0" borderId="34" xfId="0" applyFont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3" borderId="47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2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left" indent="2"/>
    </xf>
    <xf numFmtId="0" fontId="3" fillId="0" borderId="1" xfId="0" applyFont="1" applyBorder="1" applyAlignment="1">
      <alignment horizontal="left" indent="2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7"/>
    </xf>
    <xf numFmtId="0" fontId="0" fillId="0" borderId="0" xfId="0" applyAlignment="1">
      <alignment horizontal="left" indent="1"/>
    </xf>
    <xf numFmtId="0" fontId="14" fillId="0" borderId="0" xfId="0" applyFont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/>
    </xf>
    <xf numFmtId="0" fontId="0" fillId="0" borderId="0" xfId="0" applyBorder="1" applyAlignment="1">
      <alignment horizontal="right"/>
    </xf>
    <xf numFmtId="165" fontId="2" fillId="4" borderId="2" xfId="19" applyNumberFormat="1" applyFont="1" applyFill="1" applyBorder="1" applyAlignment="1">
      <alignment/>
    </xf>
    <xf numFmtId="0" fontId="24" fillId="0" borderId="0" xfId="0" applyFont="1" applyAlignment="1">
      <alignment/>
    </xf>
    <xf numFmtId="0" fontId="2" fillId="2" borderId="17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6" borderId="1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14" fillId="3" borderId="55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center"/>
    </xf>
    <xf numFmtId="0" fontId="14" fillId="3" borderId="5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6" borderId="55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/>
    </xf>
    <xf numFmtId="0" fontId="2" fillId="6" borderId="59" xfId="0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3" borderId="55" xfId="0" applyFont="1" applyFill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6" fillId="3" borderId="5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3" borderId="6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3" borderId="1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9</xdr:row>
      <xdr:rowOff>28575</xdr:rowOff>
    </xdr:from>
    <xdr:to>
      <xdr:col>8</xdr:col>
      <xdr:colOff>800100</xdr:colOff>
      <xdr:row>20</xdr:row>
      <xdr:rowOff>142875</xdr:rowOff>
    </xdr:to>
    <xdr:grpSp>
      <xdr:nvGrpSpPr>
        <xdr:cNvPr id="1" name="Group 444"/>
        <xdr:cNvGrpSpPr>
          <a:grpSpLocks/>
        </xdr:cNvGrpSpPr>
      </xdr:nvGrpSpPr>
      <xdr:grpSpPr>
        <a:xfrm>
          <a:off x="5314950" y="1885950"/>
          <a:ext cx="3381375" cy="1895475"/>
          <a:chOff x="558" y="198"/>
          <a:chExt cx="355" cy="199"/>
        </a:xfrm>
        <a:solidFill>
          <a:srgbClr val="FFFFFF"/>
        </a:solidFill>
      </xdr:grpSpPr>
      <xdr:grpSp>
        <xdr:nvGrpSpPr>
          <xdr:cNvPr id="2" name="Group 300"/>
          <xdr:cNvGrpSpPr>
            <a:grpSpLocks/>
          </xdr:cNvGrpSpPr>
        </xdr:nvGrpSpPr>
        <xdr:grpSpPr>
          <a:xfrm>
            <a:off x="558" y="198"/>
            <a:ext cx="355" cy="188"/>
            <a:chOff x="1016" y="67"/>
            <a:chExt cx="1103" cy="593"/>
          </a:xfrm>
          <a:solidFill>
            <a:srgbClr val="FFFFFF"/>
          </a:solidFill>
        </xdr:grpSpPr>
        <xdr:sp>
          <xdr:nvSpPr>
            <xdr:cNvPr id="3" name="Polygon 301"/>
            <xdr:cNvSpPr>
              <a:spLocks/>
            </xdr:cNvSpPr>
          </xdr:nvSpPr>
          <xdr:spPr>
            <a:xfrm>
              <a:off x="1168" y="67"/>
              <a:ext cx="155" cy="420"/>
            </a:xfrm>
            <a:custGeom>
              <a:pathLst>
                <a:path h="548" w="290">
                  <a:moveTo>
                    <a:pt x="0" y="501"/>
                  </a:moveTo>
                  <a:lnTo>
                    <a:pt x="70" y="329"/>
                  </a:lnTo>
                  <a:lnTo>
                    <a:pt x="192" y="111"/>
                  </a:lnTo>
                  <a:lnTo>
                    <a:pt x="246" y="4"/>
                  </a:lnTo>
                  <a:lnTo>
                    <a:pt x="290" y="0"/>
                  </a:lnTo>
                  <a:lnTo>
                    <a:pt x="216" y="134"/>
                  </a:lnTo>
                  <a:lnTo>
                    <a:pt x="134" y="287"/>
                  </a:lnTo>
                  <a:lnTo>
                    <a:pt x="64" y="419"/>
                  </a:lnTo>
                  <a:lnTo>
                    <a:pt x="12" y="548"/>
                  </a:lnTo>
                  <a:lnTo>
                    <a:pt x="2" y="499"/>
                  </a:lnTo>
                  <a:lnTo>
                    <a:pt x="0" y="501"/>
                  </a:lnTo>
                  <a:close/>
                </a:path>
              </a:pathLst>
            </a:cu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Polygon 302"/>
            <xdr:cNvSpPr>
              <a:spLocks/>
            </xdr:cNvSpPr>
          </xdr:nvSpPr>
          <xdr:spPr>
            <a:xfrm>
              <a:off x="1169" y="404"/>
              <a:ext cx="34" cy="36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Polygon 303"/>
            <xdr:cNvSpPr>
              <a:spLocks/>
            </xdr:cNvSpPr>
          </xdr:nvSpPr>
          <xdr:spPr>
            <a:xfrm>
              <a:off x="1277" y="95"/>
              <a:ext cx="34" cy="36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Polygon 304"/>
            <xdr:cNvSpPr>
              <a:spLocks/>
            </xdr:cNvSpPr>
          </xdr:nvSpPr>
          <xdr:spPr>
            <a:xfrm>
              <a:off x="1016" y="403"/>
              <a:ext cx="34" cy="37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305"/>
            <xdr:cNvSpPr>
              <a:spLocks/>
            </xdr:cNvSpPr>
          </xdr:nvSpPr>
          <xdr:spPr>
            <a:xfrm>
              <a:off x="1050" y="403"/>
              <a:ext cx="120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306"/>
            <xdr:cNvSpPr>
              <a:spLocks/>
            </xdr:cNvSpPr>
          </xdr:nvSpPr>
          <xdr:spPr>
            <a:xfrm>
              <a:off x="1050" y="440"/>
              <a:ext cx="1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307"/>
            <xdr:cNvSpPr>
              <a:spLocks/>
            </xdr:cNvSpPr>
          </xdr:nvSpPr>
          <xdr:spPr>
            <a:xfrm flipV="1">
              <a:off x="1414" y="128"/>
              <a:ext cx="694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308"/>
            <xdr:cNvSpPr>
              <a:spLocks/>
            </xdr:cNvSpPr>
          </xdr:nvSpPr>
          <xdr:spPr>
            <a:xfrm flipV="1">
              <a:off x="1412" y="91"/>
              <a:ext cx="695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Polygon 309"/>
            <xdr:cNvSpPr>
              <a:spLocks/>
            </xdr:cNvSpPr>
          </xdr:nvSpPr>
          <xdr:spPr>
            <a:xfrm>
              <a:off x="1427" y="400"/>
              <a:ext cx="34" cy="36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310"/>
            <xdr:cNvSpPr>
              <a:spLocks/>
            </xdr:cNvSpPr>
          </xdr:nvSpPr>
          <xdr:spPr>
            <a:xfrm>
              <a:off x="1426" y="436"/>
              <a:ext cx="660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Polygon 311"/>
            <xdr:cNvSpPr>
              <a:spLocks/>
            </xdr:cNvSpPr>
          </xdr:nvSpPr>
          <xdr:spPr>
            <a:xfrm>
              <a:off x="1584" y="400"/>
              <a:ext cx="34" cy="36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Polygon 312"/>
            <xdr:cNvSpPr>
              <a:spLocks/>
            </xdr:cNvSpPr>
          </xdr:nvSpPr>
          <xdr:spPr>
            <a:xfrm>
              <a:off x="1753" y="400"/>
              <a:ext cx="34" cy="36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Polygon 313"/>
            <xdr:cNvSpPr>
              <a:spLocks/>
            </xdr:cNvSpPr>
          </xdr:nvSpPr>
          <xdr:spPr>
            <a:xfrm>
              <a:off x="1927" y="400"/>
              <a:ext cx="34" cy="36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314"/>
            <xdr:cNvSpPr>
              <a:spLocks/>
            </xdr:cNvSpPr>
          </xdr:nvSpPr>
          <xdr:spPr>
            <a:xfrm>
              <a:off x="1646" y="128"/>
              <a:ext cx="118" cy="2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315"/>
            <xdr:cNvSpPr>
              <a:spLocks/>
            </xdr:cNvSpPr>
          </xdr:nvSpPr>
          <xdr:spPr>
            <a:xfrm>
              <a:off x="1424" y="400"/>
              <a:ext cx="66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316"/>
            <xdr:cNvSpPr>
              <a:spLocks/>
            </xdr:cNvSpPr>
          </xdr:nvSpPr>
          <xdr:spPr>
            <a:xfrm>
              <a:off x="1665" y="130"/>
              <a:ext cx="116" cy="26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317"/>
            <xdr:cNvSpPr>
              <a:spLocks/>
            </xdr:cNvSpPr>
          </xdr:nvSpPr>
          <xdr:spPr>
            <a:xfrm flipH="1">
              <a:off x="1427" y="131"/>
              <a:ext cx="0" cy="26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318"/>
            <xdr:cNvSpPr>
              <a:spLocks/>
            </xdr:cNvSpPr>
          </xdr:nvSpPr>
          <xdr:spPr>
            <a:xfrm>
              <a:off x="2087" y="128"/>
              <a:ext cx="0" cy="28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Polygon 319"/>
            <xdr:cNvSpPr>
              <a:spLocks/>
            </xdr:cNvSpPr>
          </xdr:nvSpPr>
          <xdr:spPr>
            <a:xfrm>
              <a:off x="2053" y="402"/>
              <a:ext cx="34" cy="35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320"/>
            <xdr:cNvSpPr>
              <a:spLocks/>
            </xdr:cNvSpPr>
          </xdr:nvSpPr>
          <xdr:spPr>
            <a:xfrm>
              <a:off x="1418" y="656"/>
              <a:ext cx="662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321"/>
            <xdr:cNvSpPr>
              <a:spLocks/>
            </xdr:cNvSpPr>
          </xdr:nvSpPr>
          <xdr:spPr>
            <a:xfrm>
              <a:off x="1416" y="522"/>
              <a:ext cx="668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322"/>
            <xdr:cNvSpPr>
              <a:spLocks/>
            </xdr:cNvSpPr>
          </xdr:nvSpPr>
          <xdr:spPr>
            <a:xfrm>
              <a:off x="1416" y="486"/>
              <a:ext cx="662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323"/>
            <xdr:cNvSpPr>
              <a:spLocks/>
            </xdr:cNvSpPr>
          </xdr:nvSpPr>
          <xdr:spPr>
            <a:xfrm flipV="1">
              <a:off x="1456" y="521"/>
              <a:ext cx="0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24"/>
            <xdr:cNvSpPr>
              <a:spLocks/>
            </xdr:cNvSpPr>
          </xdr:nvSpPr>
          <xdr:spPr>
            <a:xfrm flipV="1">
              <a:off x="1422" y="522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325"/>
            <xdr:cNvSpPr>
              <a:spLocks/>
            </xdr:cNvSpPr>
          </xdr:nvSpPr>
          <xdr:spPr>
            <a:xfrm flipV="1">
              <a:off x="1783" y="522"/>
              <a:ext cx="0" cy="1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326"/>
            <xdr:cNvSpPr>
              <a:spLocks/>
            </xdr:cNvSpPr>
          </xdr:nvSpPr>
          <xdr:spPr>
            <a:xfrm flipV="1">
              <a:off x="1748" y="522"/>
              <a:ext cx="0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27"/>
            <xdr:cNvSpPr>
              <a:spLocks/>
            </xdr:cNvSpPr>
          </xdr:nvSpPr>
          <xdr:spPr>
            <a:xfrm flipV="1">
              <a:off x="1956" y="522"/>
              <a:ext cx="0" cy="1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28"/>
            <xdr:cNvSpPr>
              <a:spLocks/>
            </xdr:cNvSpPr>
          </xdr:nvSpPr>
          <xdr:spPr>
            <a:xfrm flipV="1">
              <a:off x="1922" y="522"/>
              <a:ext cx="0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29"/>
            <xdr:cNvSpPr>
              <a:spLocks/>
            </xdr:cNvSpPr>
          </xdr:nvSpPr>
          <xdr:spPr>
            <a:xfrm flipV="1">
              <a:off x="1613" y="522"/>
              <a:ext cx="0" cy="1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30"/>
            <xdr:cNvSpPr>
              <a:spLocks/>
            </xdr:cNvSpPr>
          </xdr:nvSpPr>
          <xdr:spPr>
            <a:xfrm flipV="1">
              <a:off x="1578" y="523"/>
              <a:ext cx="0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31"/>
            <xdr:cNvSpPr>
              <a:spLocks/>
            </xdr:cNvSpPr>
          </xdr:nvSpPr>
          <xdr:spPr>
            <a:xfrm flipV="1">
              <a:off x="2081" y="524"/>
              <a:ext cx="0" cy="1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32"/>
            <xdr:cNvSpPr>
              <a:spLocks/>
            </xdr:cNvSpPr>
          </xdr:nvSpPr>
          <xdr:spPr>
            <a:xfrm flipV="1">
              <a:off x="2047" y="524"/>
              <a:ext cx="0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Polygon 333"/>
            <xdr:cNvSpPr>
              <a:spLocks/>
            </xdr:cNvSpPr>
          </xdr:nvSpPr>
          <xdr:spPr>
            <a:xfrm>
              <a:off x="1397" y="489"/>
              <a:ext cx="722" cy="33"/>
            </a:xfrm>
            <a:custGeom>
              <a:pathLst>
                <a:path h="33" w="722">
                  <a:moveTo>
                    <a:pt x="16" y="11"/>
                  </a:moveTo>
                  <a:lnTo>
                    <a:pt x="100" y="1"/>
                  </a:lnTo>
                  <a:lnTo>
                    <a:pt x="198" y="17"/>
                  </a:lnTo>
                  <a:lnTo>
                    <a:pt x="264" y="7"/>
                  </a:lnTo>
                  <a:lnTo>
                    <a:pt x="368" y="5"/>
                  </a:lnTo>
                  <a:lnTo>
                    <a:pt x="469" y="18"/>
                  </a:lnTo>
                  <a:lnTo>
                    <a:pt x="537" y="0"/>
                  </a:lnTo>
                  <a:lnTo>
                    <a:pt x="645" y="16"/>
                  </a:lnTo>
                  <a:lnTo>
                    <a:pt x="705" y="10"/>
                  </a:lnTo>
                  <a:lnTo>
                    <a:pt x="722" y="26"/>
                  </a:lnTo>
                  <a:lnTo>
                    <a:pt x="655" y="30"/>
                  </a:lnTo>
                  <a:lnTo>
                    <a:pt x="583" y="23"/>
                  </a:lnTo>
                  <a:lnTo>
                    <a:pt x="455" y="33"/>
                  </a:lnTo>
                  <a:lnTo>
                    <a:pt x="349" y="23"/>
                  </a:lnTo>
                  <a:lnTo>
                    <a:pt x="255" y="22"/>
                  </a:lnTo>
                  <a:lnTo>
                    <a:pt x="121" y="33"/>
                  </a:lnTo>
                  <a:lnTo>
                    <a:pt x="57" y="23"/>
                  </a:lnTo>
                  <a:lnTo>
                    <a:pt x="0" y="30"/>
                  </a:lnTo>
                  <a:lnTo>
                    <a:pt x="16" y="11"/>
                  </a:lnTo>
                  <a:close/>
                </a:path>
              </a:pathLst>
            </a:cu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Line 334"/>
          <xdr:cNvSpPr>
            <a:spLocks/>
          </xdr:cNvSpPr>
        </xdr:nvSpPr>
        <xdr:spPr>
          <a:xfrm>
            <a:off x="659" y="218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35"/>
          <xdr:cNvSpPr>
            <a:spLocks/>
          </xdr:cNvSpPr>
        </xdr:nvSpPr>
        <xdr:spPr>
          <a:xfrm>
            <a:off x="661" y="246"/>
            <a:ext cx="23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 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ver</a:t>
            </a:r>
          </a:p>
        </xdr:txBody>
      </xdr:sp>
      <xdr:sp>
        <xdr:nvSpPr>
          <xdr:cNvPr id="38" name="AutoShape 336"/>
          <xdr:cNvSpPr>
            <a:spLocks/>
          </xdr:cNvSpPr>
        </xdr:nvSpPr>
        <xdr:spPr>
          <a:xfrm>
            <a:off x="627" y="284"/>
            <a:ext cx="5" cy="21"/>
          </a:xfrm>
          <a:custGeom>
            <a:pathLst>
              <a:path h="12" w="7">
                <a:moveTo>
                  <a:pt x="0" y="0"/>
                </a:moveTo>
                <a:cubicBezTo>
                  <a:pt x="1" y="1"/>
                  <a:pt x="5" y="3"/>
                  <a:pt x="6" y="5"/>
                </a:cubicBezTo>
                <a:cubicBezTo>
                  <a:pt x="7" y="7"/>
                  <a:pt x="6" y="11"/>
                  <a:pt x="6" y="1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37"/>
          <xdr:cNvSpPr>
            <a:spLocks/>
          </xdr:cNvSpPr>
        </xdr:nvSpPr>
        <xdr:spPr>
          <a:xfrm>
            <a:off x="632" y="277"/>
            <a:ext cx="2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D°</a:t>
            </a:r>
          </a:p>
        </xdr:txBody>
      </xdr:sp>
      <xdr:sp>
        <xdr:nvSpPr>
          <xdr:cNvPr id="40" name="Line 338"/>
          <xdr:cNvSpPr>
            <a:spLocks/>
          </xdr:cNvSpPr>
        </xdr:nvSpPr>
        <xdr:spPr>
          <a:xfrm>
            <a:off x="689" y="397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39"/>
          <xdr:cNvSpPr>
            <a:spLocks/>
          </xdr:cNvSpPr>
        </xdr:nvSpPr>
        <xdr:spPr>
          <a:xfrm>
            <a:off x="625" y="306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340"/>
          <xdr:cNvSpPr>
            <a:spLocks/>
          </xdr:cNvSpPr>
        </xdr:nvSpPr>
        <xdr:spPr>
          <a:xfrm>
            <a:off x="652" y="218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66</xdr:row>
      <xdr:rowOff>180975</xdr:rowOff>
    </xdr:from>
    <xdr:to>
      <xdr:col>0</xdr:col>
      <xdr:colOff>409575</xdr:colOff>
      <xdr:row>80</xdr:row>
      <xdr:rowOff>28575</xdr:rowOff>
    </xdr:to>
    <xdr:sp>
      <xdr:nvSpPr>
        <xdr:cNvPr id="1" name="Rectangle 178"/>
        <xdr:cNvSpPr>
          <a:spLocks/>
        </xdr:cNvSpPr>
      </xdr:nvSpPr>
      <xdr:spPr>
        <a:xfrm>
          <a:off x="257175" y="12420600"/>
          <a:ext cx="15240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41</xdr:row>
      <xdr:rowOff>0</xdr:rowOff>
    </xdr:from>
    <xdr:to>
      <xdr:col>2</xdr:col>
      <xdr:colOff>238125</xdr:colOff>
      <xdr:row>54</xdr:row>
      <xdr:rowOff>19050</xdr:rowOff>
    </xdr:to>
    <xdr:sp>
      <xdr:nvSpPr>
        <xdr:cNvPr id="2" name="Polygon 150"/>
        <xdr:cNvSpPr>
          <a:spLocks/>
        </xdr:cNvSpPr>
      </xdr:nvSpPr>
      <xdr:spPr>
        <a:xfrm>
          <a:off x="866775" y="7877175"/>
          <a:ext cx="1047750" cy="2228850"/>
        </a:xfrm>
        <a:custGeom>
          <a:pathLst>
            <a:path h="223" w="110">
              <a:moveTo>
                <a:pt x="0" y="222"/>
              </a:moveTo>
              <a:lnTo>
                <a:pt x="98" y="0"/>
              </a:lnTo>
              <a:lnTo>
                <a:pt x="110" y="0"/>
              </a:lnTo>
              <a:lnTo>
                <a:pt x="12" y="223"/>
              </a:lnTo>
              <a:lnTo>
                <a:pt x="0" y="222"/>
              </a:lnTo>
              <a:close/>
            </a:path>
          </a:pathLst>
        </a:custGeom>
        <a:pattFill prst="wdDnDiag">
          <a:fgClr>
            <a:srgbClr val="FF0000"/>
          </a:fgClr>
          <a:bgClr>
            <a:srgbClr val="FFFFFF"/>
          </a:bgClr>
        </a:pattFill>
        <a:ln w="19050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51</xdr:row>
      <xdr:rowOff>85725</xdr:rowOff>
    </xdr:from>
    <xdr:to>
      <xdr:col>1</xdr:col>
      <xdr:colOff>285750</xdr:colOff>
      <xdr:row>52</xdr:row>
      <xdr:rowOff>28575</xdr:rowOff>
    </xdr:to>
    <xdr:sp>
      <xdr:nvSpPr>
        <xdr:cNvPr id="3" name="Polygon 156"/>
        <xdr:cNvSpPr>
          <a:spLocks/>
        </xdr:cNvSpPr>
      </xdr:nvSpPr>
      <xdr:spPr>
        <a:xfrm>
          <a:off x="647700" y="9610725"/>
          <a:ext cx="400050" cy="114300"/>
        </a:xfrm>
        <a:custGeom>
          <a:pathLst>
            <a:path h="11" w="42">
              <a:moveTo>
                <a:pt x="0" y="11"/>
              </a:moveTo>
              <a:lnTo>
                <a:pt x="5" y="0"/>
              </a:lnTo>
              <a:lnTo>
                <a:pt x="42" y="0"/>
              </a:lnTo>
              <a:lnTo>
                <a:pt x="41" y="11"/>
              </a:lnTo>
              <a:lnTo>
                <a:pt x="0" y="1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48</xdr:row>
      <xdr:rowOff>95250</xdr:rowOff>
    </xdr:from>
    <xdr:to>
      <xdr:col>1</xdr:col>
      <xdr:colOff>466725</xdr:colOff>
      <xdr:row>49</xdr:row>
      <xdr:rowOff>38100</xdr:rowOff>
    </xdr:to>
    <xdr:sp>
      <xdr:nvSpPr>
        <xdr:cNvPr id="4" name="Polygon 157"/>
        <xdr:cNvSpPr>
          <a:spLocks/>
        </xdr:cNvSpPr>
      </xdr:nvSpPr>
      <xdr:spPr>
        <a:xfrm>
          <a:off x="866775" y="9134475"/>
          <a:ext cx="361950" cy="104775"/>
        </a:xfrm>
        <a:custGeom>
          <a:pathLst>
            <a:path h="11" w="42">
              <a:moveTo>
                <a:pt x="0" y="11"/>
              </a:moveTo>
              <a:lnTo>
                <a:pt x="5" y="0"/>
              </a:lnTo>
              <a:lnTo>
                <a:pt x="42" y="0"/>
              </a:lnTo>
              <a:lnTo>
                <a:pt x="41" y="11"/>
              </a:lnTo>
              <a:lnTo>
                <a:pt x="0" y="1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45</xdr:row>
      <xdr:rowOff>114300</xdr:rowOff>
    </xdr:from>
    <xdr:to>
      <xdr:col>1</xdr:col>
      <xdr:colOff>695325</xdr:colOff>
      <xdr:row>46</xdr:row>
      <xdr:rowOff>57150</xdr:rowOff>
    </xdr:to>
    <xdr:sp>
      <xdr:nvSpPr>
        <xdr:cNvPr id="5" name="Polygon 158"/>
        <xdr:cNvSpPr>
          <a:spLocks/>
        </xdr:cNvSpPr>
      </xdr:nvSpPr>
      <xdr:spPr>
        <a:xfrm>
          <a:off x="1085850" y="8667750"/>
          <a:ext cx="371475" cy="104775"/>
        </a:xfrm>
        <a:custGeom>
          <a:pathLst>
            <a:path h="11" w="42">
              <a:moveTo>
                <a:pt x="0" y="11"/>
              </a:moveTo>
              <a:lnTo>
                <a:pt x="5" y="0"/>
              </a:lnTo>
              <a:lnTo>
                <a:pt x="42" y="0"/>
              </a:lnTo>
              <a:lnTo>
                <a:pt x="41" y="11"/>
              </a:lnTo>
              <a:lnTo>
                <a:pt x="0" y="1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28575</xdr:rowOff>
    </xdr:from>
    <xdr:to>
      <xdr:col>1</xdr:col>
      <xdr:colOff>866775</xdr:colOff>
      <xdr:row>43</xdr:row>
      <xdr:rowOff>133350</xdr:rowOff>
    </xdr:to>
    <xdr:sp>
      <xdr:nvSpPr>
        <xdr:cNvPr id="6" name="Polygon 159"/>
        <xdr:cNvSpPr>
          <a:spLocks/>
        </xdr:cNvSpPr>
      </xdr:nvSpPr>
      <xdr:spPr>
        <a:xfrm>
          <a:off x="1266825" y="8229600"/>
          <a:ext cx="361950" cy="104775"/>
        </a:xfrm>
        <a:custGeom>
          <a:pathLst>
            <a:path h="11" w="42">
              <a:moveTo>
                <a:pt x="0" y="11"/>
              </a:moveTo>
              <a:lnTo>
                <a:pt x="5" y="0"/>
              </a:lnTo>
              <a:lnTo>
                <a:pt x="42" y="0"/>
              </a:lnTo>
              <a:lnTo>
                <a:pt x="41" y="11"/>
              </a:lnTo>
              <a:lnTo>
                <a:pt x="0" y="1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21</xdr:row>
      <xdr:rowOff>104775</xdr:rowOff>
    </xdr:from>
    <xdr:to>
      <xdr:col>2</xdr:col>
      <xdr:colOff>695325</xdr:colOff>
      <xdr:row>25</xdr:row>
      <xdr:rowOff>38100</xdr:rowOff>
    </xdr:to>
    <xdr:grpSp>
      <xdr:nvGrpSpPr>
        <xdr:cNvPr id="7" name="Group 218"/>
        <xdr:cNvGrpSpPr>
          <a:grpSpLocks/>
        </xdr:cNvGrpSpPr>
      </xdr:nvGrpSpPr>
      <xdr:grpSpPr>
        <a:xfrm>
          <a:off x="66675" y="4257675"/>
          <a:ext cx="2305050" cy="581025"/>
          <a:chOff x="7" y="386"/>
          <a:chExt cx="242" cy="61"/>
        </a:xfrm>
        <a:solidFill>
          <a:srgbClr val="FFFFFF"/>
        </a:solidFill>
      </xdr:grpSpPr>
      <xdr:grpSp>
        <xdr:nvGrpSpPr>
          <xdr:cNvPr id="8" name="Group 217"/>
          <xdr:cNvGrpSpPr>
            <a:grpSpLocks/>
          </xdr:cNvGrpSpPr>
        </xdr:nvGrpSpPr>
        <xdr:grpSpPr>
          <a:xfrm>
            <a:off x="7" y="386"/>
            <a:ext cx="242" cy="61"/>
            <a:chOff x="7" y="386"/>
            <a:chExt cx="242" cy="61"/>
          </a:xfrm>
          <a:solidFill>
            <a:srgbClr val="FFFFFF"/>
          </a:solidFill>
        </xdr:grpSpPr>
        <xdr:sp>
          <xdr:nvSpPr>
            <xdr:cNvPr id="9" name="Polygon 69"/>
            <xdr:cNvSpPr>
              <a:spLocks/>
            </xdr:cNvSpPr>
          </xdr:nvSpPr>
          <xdr:spPr>
            <a:xfrm>
              <a:off x="8" y="434"/>
              <a:ext cx="13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70"/>
            <xdr:cNvSpPr>
              <a:spLocks/>
            </xdr:cNvSpPr>
          </xdr:nvSpPr>
          <xdr:spPr>
            <a:xfrm>
              <a:off x="8" y="446"/>
              <a:ext cx="241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Polygon 71"/>
            <xdr:cNvSpPr>
              <a:spLocks/>
            </xdr:cNvSpPr>
          </xdr:nvSpPr>
          <xdr:spPr>
            <a:xfrm>
              <a:off x="65" y="434"/>
              <a:ext cx="13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Polygon 72"/>
            <xdr:cNvSpPr>
              <a:spLocks/>
            </xdr:cNvSpPr>
          </xdr:nvSpPr>
          <xdr:spPr>
            <a:xfrm>
              <a:off x="121" y="434"/>
              <a:ext cx="13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Polygon 73"/>
            <xdr:cNvSpPr>
              <a:spLocks/>
            </xdr:cNvSpPr>
          </xdr:nvSpPr>
          <xdr:spPr>
            <a:xfrm>
              <a:off x="177" y="434"/>
              <a:ext cx="13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74"/>
            <xdr:cNvSpPr>
              <a:spLocks/>
            </xdr:cNvSpPr>
          </xdr:nvSpPr>
          <xdr:spPr>
            <a:xfrm>
              <a:off x="7" y="433"/>
              <a:ext cx="24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Polygon 75"/>
            <xdr:cNvSpPr>
              <a:spLocks/>
            </xdr:cNvSpPr>
          </xdr:nvSpPr>
          <xdr:spPr>
            <a:xfrm>
              <a:off x="234" y="434"/>
              <a:ext cx="12" cy="12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76"/>
            <xdr:cNvSpPr>
              <a:spLocks/>
            </xdr:cNvSpPr>
          </xdr:nvSpPr>
          <xdr:spPr>
            <a:xfrm>
              <a:off x="7" y="386"/>
              <a:ext cx="1" cy="49"/>
            </a:xfrm>
            <a:custGeom>
              <a:pathLst>
                <a:path h="49" w="1">
                  <a:moveTo>
                    <a:pt x="0" y="49"/>
                  </a:move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77"/>
            <xdr:cNvSpPr>
              <a:spLocks/>
            </xdr:cNvSpPr>
          </xdr:nvSpPr>
          <xdr:spPr>
            <a:xfrm flipH="1" flipV="1">
              <a:off x="245" y="389"/>
              <a:ext cx="0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78"/>
            <xdr:cNvSpPr>
              <a:spLocks/>
            </xdr:cNvSpPr>
          </xdr:nvSpPr>
          <xdr:spPr>
            <a:xfrm>
              <a:off x="20" y="431"/>
              <a:ext cx="44" cy="16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79"/>
            <xdr:cNvSpPr>
              <a:spLocks/>
            </xdr:cNvSpPr>
          </xdr:nvSpPr>
          <xdr:spPr>
            <a:xfrm>
              <a:off x="77" y="431"/>
              <a:ext cx="44" cy="16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80"/>
            <xdr:cNvSpPr>
              <a:spLocks/>
            </xdr:cNvSpPr>
          </xdr:nvSpPr>
          <xdr:spPr>
            <a:xfrm>
              <a:off x="134" y="431"/>
              <a:ext cx="43" cy="16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81"/>
            <xdr:cNvSpPr>
              <a:spLocks/>
            </xdr:cNvSpPr>
          </xdr:nvSpPr>
          <xdr:spPr>
            <a:xfrm>
              <a:off x="189" y="431"/>
              <a:ext cx="44" cy="16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" name="Line 82"/>
          <xdr:cNvSpPr>
            <a:spLocks/>
          </xdr:cNvSpPr>
        </xdr:nvSpPr>
        <xdr:spPr>
          <a:xfrm>
            <a:off x="72" y="416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83"/>
          <xdr:cNvSpPr>
            <a:spLocks/>
          </xdr:cNvSpPr>
        </xdr:nvSpPr>
        <xdr:spPr>
          <a:xfrm>
            <a:off x="72" y="409"/>
            <a:ext cx="1" cy="25"/>
          </a:xfrm>
          <a:custGeom>
            <a:pathLst>
              <a:path h="25" w="1">
                <a:moveTo>
                  <a:pt x="0" y="25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84"/>
          <xdr:cNvSpPr>
            <a:spLocks/>
          </xdr:cNvSpPr>
        </xdr:nvSpPr>
        <xdr:spPr>
          <a:xfrm flipV="1">
            <a:off x="128" y="41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85"/>
          <xdr:cNvSpPr>
            <a:spLocks/>
          </xdr:cNvSpPr>
        </xdr:nvSpPr>
        <xdr:spPr>
          <a:xfrm>
            <a:off x="64" y="392"/>
            <a:ext cx="79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Spacing</a:t>
            </a:r>
          </a:p>
        </xdr:txBody>
      </xdr:sp>
    </xdr:grpSp>
    <xdr:clientData/>
  </xdr:twoCellAnchor>
  <xdr:twoCellAnchor>
    <xdr:from>
      <xdr:col>3</xdr:col>
      <xdr:colOff>104775</xdr:colOff>
      <xdr:row>22</xdr:row>
      <xdr:rowOff>9525</xdr:rowOff>
    </xdr:from>
    <xdr:to>
      <xdr:col>5</xdr:col>
      <xdr:colOff>657225</xdr:colOff>
      <xdr:row>25</xdr:row>
      <xdr:rowOff>57150</xdr:rowOff>
    </xdr:to>
    <xdr:grpSp>
      <xdr:nvGrpSpPr>
        <xdr:cNvPr id="26" name="Group 219"/>
        <xdr:cNvGrpSpPr>
          <a:grpSpLocks/>
        </xdr:cNvGrpSpPr>
      </xdr:nvGrpSpPr>
      <xdr:grpSpPr>
        <a:xfrm>
          <a:off x="2676525" y="4324350"/>
          <a:ext cx="2495550" cy="533400"/>
          <a:chOff x="281" y="393"/>
          <a:chExt cx="262" cy="56"/>
        </a:xfrm>
        <a:solidFill>
          <a:srgbClr val="FFFFFF"/>
        </a:solidFill>
      </xdr:grpSpPr>
      <xdr:grpSp>
        <xdr:nvGrpSpPr>
          <xdr:cNvPr id="27" name="Group 208"/>
          <xdr:cNvGrpSpPr>
            <a:grpSpLocks/>
          </xdr:cNvGrpSpPr>
        </xdr:nvGrpSpPr>
        <xdr:grpSpPr>
          <a:xfrm>
            <a:off x="281" y="411"/>
            <a:ext cx="262" cy="38"/>
            <a:chOff x="281" y="411"/>
            <a:chExt cx="262" cy="38"/>
          </a:xfrm>
          <a:solidFill>
            <a:srgbClr val="FFFFFF"/>
          </a:solidFill>
        </xdr:grpSpPr>
        <xdr:sp>
          <xdr:nvSpPr>
            <xdr:cNvPr id="28" name="Line 88"/>
            <xdr:cNvSpPr>
              <a:spLocks/>
            </xdr:cNvSpPr>
          </xdr:nvSpPr>
          <xdr:spPr>
            <a:xfrm flipV="1">
              <a:off x="282" y="447"/>
              <a:ext cx="261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Polygon 89"/>
            <xdr:cNvSpPr>
              <a:spLocks/>
            </xdr:cNvSpPr>
          </xdr:nvSpPr>
          <xdr:spPr>
            <a:xfrm>
              <a:off x="320" y="436"/>
              <a:ext cx="19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Polygon 90"/>
            <xdr:cNvSpPr>
              <a:spLocks/>
            </xdr:cNvSpPr>
          </xdr:nvSpPr>
          <xdr:spPr>
            <a:xfrm>
              <a:off x="406" y="435"/>
              <a:ext cx="19" cy="14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Polygon 91"/>
            <xdr:cNvSpPr>
              <a:spLocks/>
            </xdr:cNvSpPr>
          </xdr:nvSpPr>
          <xdr:spPr>
            <a:xfrm>
              <a:off x="492" y="435"/>
              <a:ext cx="19" cy="14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92"/>
            <xdr:cNvSpPr>
              <a:spLocks/>
            </xdr:cNvSpPr>
          </xdr:nvSpPr>
          <xdr:spPr>
            <a:xfrm>
              <a:off x="281" y="435"/>
              <a:ext cx="25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93"/>
            <xdr:cNvSpPr>
              <a:spLocks/>
            </xdr:cNvSpPr>
          </xdr:nvSpPr>
          <xdr:spPr>
            <a:xfrm>
              <a:off x="285" y="411"/>
              <a:ext cx="1" cy="22"/>
            </a:xfrm>
            <a:custGeom>
              <a:pathLst>
                <a:path h="22" w="1">
                  <a:moveTo>
                    <a:pt x="0" y="22"/>
                  </a:move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94"/>
            <xdr:cNvSpPr>
              <a:spLocks/>
            </xdr:cNvSpPr>
          </xdr:nvSpPr>
          <xdr:spPr>
            <a:xfrm>
              <a:off x="541" y="413"/>
              <a:ext cx="1" cy="21"/>
            </a:xfrm>
            <a:custGeom>
              <a:pathLst>
                <a:path h="21" w="1">
                  <a:moveTo>
                    <a:pt x="0" y="21"/>
                  </a:move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95"/>
            <xdr:cNvSpPr>
              <a:spLocks/>
            </xdr:cNvSpPr>
          </xdr:nvSpPr>
          <xdr:spPr>
            <a:xfrm>
              <a:off x="338" y="432"/>
              <a:ext cx="67" cy="17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96"/>
            <xdr:cNvSpPr>
              <a:spLocks/>
            </xdr:cNvSpPr>
          </xdr:nvSpPr>
          <xdr:spPr>
            <a:xfrm>
              <a:off x="425" y="432"/>
              <a:ext cx="67" cy="17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97"/>
            <xdr:cNvSpPr>
              <a:spLocks/>
            </xdr:cNvSpPr>
          </xdr:nvSpPr>
          <xdr:spPr>
            <a:xfrm>
              <a:off x="284" y="433"/>
              <a:ext cx="37" cy="16"/>
            </a:xfrm>
            <a:prstGeom prst="rt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98"/>
            <xdr:cNvSpPr>
              <a:spLocks/>
            </xdr:cNvSpPr>
          </xdr:nvSpPr>
          <xdr:spPr>
            <a:xfrm flipH="1">
              <a:off x="511" y="432"/>
              <a:ext cx="31" cy="17"/>
            </a:xfrm>
            <a:prstGeom prst="rt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" name="AutoShape 99"/>
          <xdr:cNvSpPr>
            <a:spLocks/>
          </xdr:cNvSpPr>
        </xdr:nvSpPr>
        <xdr:spPr>
          <a:xfrm>
            <a:off x="330" y="417"/>
            <a:ext cx="85" cy="1"/>
          </a:xfrm>
          <a:custGeom>
            <a:pathLst>
              <a:path h="1" w="85">
                <a:moveTo>
                  <a:pt x="0" y="0"/>
                </a:moveTo>
                <a:lnTo>
                  <a:pt x="85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100"/>
          <xdr:cNvSpPr>
            <a:spLocks/>
          </xdr:cNvSpPr>
        </xdr:nvSpPr>
        <xdr:spPr>
          <a:xfrm>
            <a:off x="330" y="417"/>
            <a:ext cx="1" cy="18"/>
          </a:xfrm>
          <a:custGeom>
            <a:pathLst>
              <a:path h="18" w="1">
                <a:moveTo>
                  <a:pt x="0" y="18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101"/>
          <xdr:cNvSpPr>
            <a:spLocks/>
          </xdr:cNvSpPr>
        </xdr:nvSpPr>
        <xdr:spPr>
          <a:xfrm>
            <a:off x="415" y="413"/>
            <a:ext cx="1" cy="22"/>
          </a:xfrm>
          <a:custGeom>
            <a:pathLst>
              <a:path h="22" w="1">
                <a:moveTo>
                  <a:pt x="0" y="22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102"/>
          <xdr:cNvSpPr>
            <a:spLocks/>
          </xdr:cNvSpPr>
        </xdr:nvSpPr>
        <xdr:spPr>
          <a:xfrm>
            <a:off x="336" y="393"/>
            <a:ext cx="99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Spacing</a:t>
            </a:r>
          </a:p>
        </xdr:txBody>
      </xdr:sp>
    </xdr:grpSp>
    <xdr:clientData/>
  </xdr:twoCellAnchor>
  <xdr:twoCellAnchor>
    <xdr:from>
      <xdr:col>6</xdr:col>
      <xdr:colOff>85725</xdr:colOff>
      <xdr:row>21</xdr:row>
      <xdr:rowOff>104775</xdr:rowOff>
    </xdr:from>
    <xdr:to>
      <xdr:col>8</xdr:col>
      <xdr:colOff>666750</xdr:colOff>
      <xdr:row>25</xdr:row>
      <xdr:rowOff>66675</xdr:rowOff>
    </xdr:to>
    <xdr:grpSp>
      <xdr:nvGrpSpPr>
        <xdr:cNvPr id="43" name="Group 215"/>
        <xdr:cNvGrpSpPr>
          <a:grpSpLocks/>
        </xdr:cNvGrpSpPr>
      </xdr:nvGrpSpPr>
      <xdr:grpSpPr>
        <a:xfrm>
          <a:off x="5610225" y="4257675"/>
          <a:ext cx="2333625" cy="609600"/>
          <a:chOff x="589" y="386"/>
          <a:chExt cx="245" cy="64"/>
        </a:xfrm>
        <a:solidFill>
          <a:srgbClr val="FFFFFF"/>
        </a:solidFill>
      </xdr:grpSpPr>
      <xdr:sp>
        <xdr:nvSpPr>
          <xdr:cNvPr id="44" name="Polygon 104"/>
          <xdr:cNvSpPr>
            <a:spLocks/>
          </xdr:cNvSpPr>
        </xdr:nvSpPr>
        <xdr:spPr>
          <a:xfrm>
            <a:off x="590" y="436"/>
            <a:ext cx="15" cy="14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05"/>
          <xdr:cNvSpPr>
            <a:spLocks/>
          </xdr:cNvSpPr>
        </xdr:nvSpPr>
        <xdr:spPr>
          <a:xfrm>
            <a:off x="590" y="449"/>
            <a:ext cx="24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Polygon 106"/>
          <xdr:cNvSpPr>
            <a:spLocks/>
          </xdr:cNvSpPr>
        </xdr:nvSpPr>
        <xdr:spPr>
          <a:xfrm>
            <a:off x="658" y="436"/>
            <a:ext cx="16" cy="14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Polygon 107"/>
          <xdr:cNvSpPr>
            <a:spLocks/>
          </xdr:cNvSpPr>
        </xdr:nvSpPr>
        <xdr:spPr>
          <a:xfrm>
            <a:off x="725" y="436"/>
            <a:ext cx="15" cy="14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Polygon 108"/>
          <xdr:cNvSpPr>
            <a:spLocks/>
          </xdr:cNvSpPr>
        </xdr:nvSpPr>
        <xdr:spPr>
          <a:xfrm>
            <a:off x="793" y="436"/>
            <a:ext cx="14" cy="14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09"/>
          <xdr:cNvSpPr>
            <a:spLocks/>
          </xdr:cNvSpPr>
        </xdr:nvSpPr>
        <xdr:spPr>
          <a:xfrm>
            <a:off x="589" y="435"/>
            <a:ext cx="2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110"/>
          <xdr:cNvSpPr>
            <a:spLocks/>
          </xdr:cNvSpPr>
        </xdr:nvSpPr>
        <xdr:spPr>
          <a:xfrm>
            <a:off x="589" y="386"/>
            <a:ext cx="1" cy="52"/>
          </a:xfrm>
          <a:custGeom>
            <a:pathLst>
              <a:path h="52" w="1">
                <a:moveTo>
                  <a:pt x="0" y="52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111"/>
          <xdr:cNvSpPr>
            <a:spLocks/>
          </xdr:cNvSpPr>
        </xdr:nvSpPr>
        <xdr:spPr>
          <a:xfrm>
            <a:off x="833" y="393"/>
            <a:ext cx="1" cy="45"/>
          </a:xfrm>
          <a:custGeom>
            <a:pathLst>
              <a:path h="45" w="1">
                <a:moveTo>
                  <a:pt x="0" y="45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112"/>
          <xdr:cNvSpPr>
            <a:spLocks/>
          </xdr:cNvSpPr>
        </xdr:nvSpPr>
        <xdr:spPr>
          <a:xfrm>
            <a:off x="604" y="432"/>
            <a:ext cx="53" cy="18"/>
          </a:xfrm>
          <a:prstGeom prst="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113"/>
          <xdr:cNvSpPr>
            <a:spLocks/>
          </xdr:cNvSpPr>
        </xdr:nvSpPr>
        <xdr:spPr>
          <a:xfrm>
            <a:off x="673" y="432"/>
            <a:ext cx="51" cy="18"/>
          </a:xfrm>
          <a:prstGeom prst="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114"/>
          <xdr:cNvSpPr>
            <a:spLocks/>
          </xdr:cNvSpPr>
        </xdr:nvSpPr>
        <xdr:spPr>
          <a:xfrm>
            <a:off x="740" y="432"/>
            <a:ext cx="53" cy="18"/>
          </a:xfrm>
          <a:prstGeom prst="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115"/>
          <xdr:cNvSpPr>
            <a:spLocks/>
          </xdr:cNvSpPr>
        </xdr:nvSpPr>
        <xdr:spPr>
          <a:xfrm flipH="1">
            <a:off x="808" y="432"/>
            <a:ext cx="25" cy="17"/>
          </a:xfrm>
          <a:prstGeom prst="rt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16"/>
          <xdr:cNvSpPr>
            <a:spLocks/>
          </xdr:cNvSpPr>
        </xdr:nvSpPr>
        <xdr:spPr>
          <a:xfrm>
            <a:off x="733" y="416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17"/>
          <xdr:cNvSpPr>
            <a:spLocks/>
          </xdr:cNvSpPr>
        </xdr:nvSpPr>
        <xdr:spPr>
          <a:xfrm flipV="1">
            <a:off x="733" y="41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118"/>
          <xdr:cNvSpPr>
            <a:spLocks/>
          </xdr:cNvSpPr>
        </xdr:nvSpPr>
        <xdr:spPr>
          <a:xfrm flipV="1">
            <a:off x="799" y="41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119"/>
          <xdr:cNvSpPr>
            <a:spLocks/>
          </xdr:cNvSpPr>
        </xdr:nvSpPr>
        <xdr:spPr>
          <a:xfrm>
            <a:off x="724" y="392"/>
            <a:ext cx="9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Spacing</a:t>
            </a:r>
          </a:p>
        </xdr:txBody>
      </xdr:sp>
    </xdr:grp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723900</xdr:colOff>
      <xdr:row>54</xdr:row>
      <xdr:rowOff>19050</xdr:rowOff>
    </xdr:to>
    <xdr:sp>
      <xdr:nvSpPr>
        <xdr:cNvPr id="60" name="Polygon 149"/>
        <xdr:cNvSpPr>
          <a:spLocks/>
        </xdr:cNvSpPr>
      </xdr:nvSpPr>
      <xdr:spPr>
        <a:xfrm>
          <a:off x="390525" y="7877175"/>
          <a:ext cx="1095375" cy="2228850"/>
        </a:xfrm>
        <a:custGeom>
          <a:pathLst>
            <a:path h="223" w="110">
              <a:moveTo>
                <a:pt x="0" y="222"/>
              </a:moveTo>
              <a:lnTo>
                <a:pt x="98" y="0"/>
              </a:lnTo>
              <a:lnTo>
                <a:pt x="110" y="0"/>
              </a:lnTo>
              <a:lnTo>
                <a:pt x="12" y="223"/>
              </a:lnTo>
              <a:lnTo>
                <a:pt x="0" y="22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54</xdr:row>
      <xdr:rowOff>9525</xdr:rowOff>
    </xdr:from>
    <xdr:to>
      <xdr:col>1</xdr:col>
      <xdr:colOff>257175</xdr:colOff>
      <xdr:row>55</xdr:row>
      <xdr:rowOff>9525</xdr:rowOff>
    </xdr:to>
    <xdr:sp>
      <xdr:nvSpPr>
        <xdr:cNvPr id="61" name="Polygon 152"/>
        <xdr:cNvSpPr>
          <a:spLocks/>
        </xdr:cNvSpPr>
      </xdr:nvSpPr>
      <xdr:spPr>
        <a:xfrm>
          <a:off x="200025" y="10096500"/>
          <a:ext cx="819150" cy="200025"/>
        </a:xfrm>
        <a:custGeom>
          <a:pathLst>
            <a:path h="17" w="92">
              <a:moveTo>
                <a:pt x="0" y="0"/>
              </a:moveTo>
              <a:lnTo>
                <a:pt x="92" y="0"/>
              </a:lnTo>
              <a:lnTo>
                <a:pt x="92" y="17"/>
              </a:lnTo>
              <a:lnTo>
                <a:pt x="1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54</xdr:row>
      <xdr:rowOff>9525</xdr:rowOff>
    </xdr:from>
    <xdr:to>
      <xdr:col>0</xdr:col>
      <xdr:colOff>400050</xdr:colOff>
      <xdr:row>55</xdr:row>
      <xdr:rowOff>9525</xdr:rowOff>
    </xdr:to>
    <xdr:sp>
      <xdr:nvSpPr>
        <xdr:cNvPr id="62" name="Polygon 153"/>
        <xdr:cNvSpPr>
          <a:spLocks/>
        </xdr:cNvSpPr>
      </xdr:nvSpPr>
      <xdr:spPr>
        <a:xfrm>
          <a:off x="200025" y="10096500"/>
          <a:ext cx="200025" cy="200025"/>
        </a:xfrm>
        <a:custGeom>
          <a:pathLst>
            <a:path h="17" w="21">
              <a:moveTo>
                <a:pt x="0" y="0"/>
              </a:moveTo>
              <a:lnTo>
                <a:pt x="21" y="0"/>
              </a:lnTo>
              <a:lnTo>
                <a:pt x="21" y="17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9525</xdr:rowOff>
    </xdr:from>
    <xdr:to>
      <xdr:col>1</xdr:col>
      <xdr:colOff>247650</xdr:colOff>
      <xdr:row>55</xdr:row>
      <xdr:rowOff>9525</xdr:rowOff>
    </xdr:to>
    <xdr:sp>
      <xdr:nvSpPr>
        <xdr:cNvPr id="63" name="Polygon 154"/>
        <xdr:cNvSpPr>
          <a:spLocks/>
        </xdr:cNvSpPr>
      </xdr:nvSpPr>
      <xdr:spPr>
        <a:xfrm>
          <a:off x="809625" y="10096500"/>
          <a:ext cx="200025" cy="200025"/>
        </a:xfrm>
        <a:custGeom>
          <a:pathLst>
            <a:path h="17" w="21">
              <a:moveTo>
                <a:pt x="0" y="0"/>
              </a:moveTo>
              <a:lnTo>
                <a:pt x="21" y="0"/>
              </a:lnTo>
              <a:lnTo>
                <a:pt x="21" y="17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9525</xdr:rowOff>
    </xdr:from>
    <xdr:to>
      <xdr:col>2</xdr:col>
      <xdr:colOff>285750</xdr:colOff>
      <xdr:row>41</xdr:row>
      <xdr:rowOff>9525</xdr:rowOff>
    </xdr:to>
    <xdr:sp>
      <xdr:nvSpPr>
        <xdr:cNvPr id="64" name="Polygon 160"/>
        <xdr:cNvSpPr>
          <a:spLocks/>
        </xdr:cNvSpPr>
      </xdr:nvSpPr>
      <xdr:spPr>
        <a:xfrm>
          <a:off x="1143000" y="7696200"/>
          <a:ext cx="819150" cy="190500"/>
        </a:xfrm>
        <a:custGeom>
          <a:pathLst>
            <a:path h="17" w="92">
              <a:moveTo>
                <a:pt x="0" y="0"/>
              </a:moveTo>
              <a:lnTo>
                <a:pt x="92" y="0"/>
              </a:lnTo>
              <a:lnTo>
                <a:pt x="92" y="17"/>
              </a:lnTo>
              <a:lnTo>
                <a:pt x="1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9525</xdr:rowOff>
    </xdr:from>
    <xdr:to>
      <xdr:col>1</xdr:col>
      <xdr:colOff>581025</xdr:colOff>
      <xdr:row>41</xdr:row>
      <xdr:rowOff>9525</xdr:rowOff>
    </xdr:to>
    <xdr:sp>
      <xdr:nvSpPr>
        <xdr:cNvPr id="65" name="Polygon 161"/>
        <xdr:cNvSpPr>
          <a:spLocks/>
        </xdr:cNvSpPr>
      </xdr:nvSpPr>
      <xdr:spPr>
        <a:xfrm>
          <a:off x="1143000" y="7696200"/>
          <a:ext cx="200025" cy="190500"/>
        </a:xfrm>
        <a:custGeom>
          <a:pathLst>
            <a:path h="17" w="21">
              <a:moveTo>
                <a:pt x="0" y="0"/>
              </a:moveTo>
              <a:lnTo>
                <a:pt x="21" y="0"/>
              </a:lnTo>
              <a:lnTo>
                <a:pt x="21" y="17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40</xdr:row>
      <xdr:rowOff>9525</xdr:rowOff>
    </xdr:from>
    <xdr:to>
      <xdr:col>2</xdr:col>
      <xdr:colOff>276225</xdr:colOff>
      <xdr:row>41</xdr:row>
      <xdr:rowOff>9525</xdr:rowOff>
    </xdr:to>
    <xdr:sp>
      <xdr:nvSpPr>
        <xdr:cNvPr id="66" name="Polygon 162"/>
        <xdr:cNvSpPr>
          <a:spLocks/>
        </xdr:cNvSpPr>
      </xdr:nvSpPr>
      <xdr:spPr>
        <a:xfrm>
          <a:off x="1752600" y="7696200"/>
          <a:ext cx="200025" cy="190500"/>
        </a:xfrm>
        <a:custGeom>
          <a:pathLst>
            <a:path h="17" w="21">
              <a:moveTo>
                <a:pt x="0" y="0"/>
              </a:moveTo>
              <a:lnTo>
                <a:pt x="21" y="0"/>
              </a:lnTo>
              <a:lnTo>
                <a:pt x="21" y="17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80</xdr:row>
      <xdr:rowOff>9525</xdr:rowOff>
    </xdr:from>
    <xdr:to>
      <xdr:col>2</xdr:col>
      <xdr:colOff>771525</xdr:colOff>
      <xdr:row>81</xdr:row>
      <xdr:rowOff>28575</xdr:rowOff>
    </xdr:to>
    <xdr:sp>
      <xdr:nvSpPr>
        <xdr:cNvPr id="67" name="Polygon 172"/>
        <xdr:cNvSpPr>
          <a:spLocks/>
        </xdr:cNvSpPr>
      </xdr:nvSpPr>
      <xdr:spPr>
        <a:xfrm>
          <a:off x="104775" y="14620875"/>
          <a:ext cx="2343150" cy="209550"/>
        </a:xfrm>
        <a:custGeom>
          <a:pathLst>
            <a:path h="17" w="92">
              <a:moveTo>
                <a:pt x="0" y="0"/>
              </a:moveTo>
              <a:lnTo>
                <a:pt x="92" y="0"/>
              </a:lnTo>
              <a:lnTo>
                <a:pt x="92" y="17"/>
              </a:lnTo>
              <a:lnTo>
                <a:pt x="1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66</xdr:row>
      <xdr:rowOff>9525</xdr:rowOff>
    </xdr:from>
    <xdr:to>
      <xdr:col>2</xdr:col>
      <xdr:colOff>800100</xdr:colOff>
      <xdr:row>66</xdr:row>
      <xdr:rowOff>161925</xdr:rowOff>
    </xdr:to>
    <xdr:sp>
      <xdr:nvSpPr>
        <xdr:cNvPr id="68" name="Polygon 175"/>
        <xdr:cNvSpPr>
          <a:spLocks/>
        </xdr:cNvSpPr>
      </xdr:nvSpPr>
      <xdr:spPr>
        <a:xfrm>
          <a:off x="38100" y="12249150"/>
          <a:ext cx="2438400" cy="152400"/>
        </a:xfrm>
        <a:custGeom>
          <a:pathLst>
            <a:path h="17" w="92">
              <a:moveTo>
                <a:pt x="0" y="0"/>
              </a:moveTo>
              <a:lnTo>
                <a:pt x="92" y="0"/>
              </a:lnTo>
              <a:lnTo>
                <a:pt x="92" y="17"/>
              </a:lnTo>
              <a:lnTo>
                <a:pt x="1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66</xdr:row>
      <xdr:rowOff>171450</xdr:rowOff>
    </xdr:from>
    <xdr:to>
      <xdr:col>2</xdr:col>
      <xdr:colOff>800100</xdr:colOff>
      <xdr:row>80</xdr:row>
      <xdr:rowOff>9525</xdr:rowOff>
    </xdr:to>
    <xdr:sp>
      <xdr:nvSpPr>
        <xdr:cNvPr id="69" name="Rectangle 180"/>
        <xdr:cNvSpPr>
          <a:spLocks/>
        </xdr:cNvSpPr>
      </xdr:nvSpPr>
      <xdr:spPr>
        <a:xfrm>
          <a:off x="819150" y="12411075"/>
          <a:ext cx="1657350" cy="22098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69</xdr:row>
      <xdr:rowOff>66675</xdr:rowOff>
    </xdr:from>
    <xdr:to>
      <xdr:col>1</xdr:col>
      <xdr:colOff>57150</xdr:colOff>
      <xdr:row>69</xdr:row>
      <xdr:rowOff>161925</xdr:rowOff>
    </xdr:to>
    <xdr:sp>
      <xdr:nvSpPr>
        <xdr:cNvPr id="70" name="Rectangle 183"/>
        <xdr:cNvSpPr>
          <a:spLocks/>
        </xdr:cNvSpPr>
      </xdr:nvSpPr>
      <xdr:spPr>
        <a:xfrm>
          <a:off x="409575" y="12820650"/>
          <a:ext cx="4095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72</xdr:row>
      <xdr:rowOff>9525</xdr:rowOff>
    </xdr:from>
    <xdr:to>
      <xdr:col>1</xdr:col>
      <xdr:colOff>66675</xdr:colOff>
      <xdr:row>72</xdr:row>
      <xdr:rowOff>114300</xdr:rowOff>
    </xdr:to>
    <xdr:sp>
      <xdr:nvSpPr>
        <xdr:cNvPr id="71" name="Rectangle 182"/>
        <xdr:cNvSpPr>
          <a:spLocks/>
        </xdr:cNvSpPr>
      </xdr:nvSpPr>
      <xdr:spPr>
        <a:xfrm>
          <a:off x="409575" y="13277850"/>
          <a:ext cx="4191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74</xdr:row>
      <xdr:rowOff>142875</xdr:rowOff>
    </xdr:from>
    <xdr:to>
      <xdr:col>1</xdr:col>
      <xdr:colOff>57150</xdr:colOff>
      <xdr:row>75</xdr:row>
      <xdr:rowOff>85725</xdr:rowOff>
    </xdr:to>
    <xdr:sp>
      <xdr:nvSpPr>
        <xdr:cNvPr id="72" name="Rectangle 181"/>
        <xdr:cNvSpPr>
          <a:spLocks/>
        </xdr:cNvSpPr>
      </xdr:nvSpPr>
      <xdr:spPr>
        <a:xfrm>
          <a:off x="409575" y="13735050"/>
          <a:ext cx="4095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77</xdr:row>
      <xdr:rowOff>104775</xdr:rowOff>
    </xdr:from>
    <xdr:to>
      <xdr:col>1</xdr:col>
      <xdr:colOff>66675</xdr:colOff>
      <xdr:row>78</xdr:row>
      <xdr:rowOff>38100</xdr:rowOff>
    </xdr:to>
    <xdr:sp>
      <xdr:nvSpPr>
        <xdr:cNvPr id="73" name="Rectangle 179"/>
        <xdr:cNvSpPr>
          <a:spLocks/>
        </xdr:cNvSpPr>
      </xdr:nvSpPr>
      <xdr:spPr>
        <a:xfrm>
          <a:off x="409575" y="14182725"/>
          <a:ext cx="4191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38100</xdr:rowOff>
    </xdr:from>
    <xdr:to>
      <xdr:col>6</xdr:col>
      <xdr:colOff>571500</xdr:colOff>
      <xdr:row>80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0" y="10772775"/>
          <a:ext cx="5143500" cy="2247900"/>
          <a:chOff x="0" y="1133"/>
          <a:chExt cx="540" cy="236"/>
        </a:xfrm>
        <a:solidFill>
          <a:srgbClr val="FFFFFF"/>
        </a:solidFill>
      </xdr:grpSpPr>
      <xdr:sp>
        <xdr:nvSpPr>
          <xdr:cNvPr id="2" name="Rectangle 2"/>
          <xdr:cNvSpPr>
            <a:spLocks noChangeAspect="1"/>
          </xdr:cNvSpPr>
        </xdr:nvSpPr>
        <xdr:spPr>
          <a:xfrm>
            <a:off x="40" y="1262"/>
            <a:ext cx="469" cy="31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 noChangeAspect="1"/>
          </xdr:cNvSpPr>
        </xdr:nvSpPr>
        <xdr:spPr>
          <a:xfrm>
            <a:off x="40" y="1293"/>
            <a:ext cx="469" cy="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 noChangeAspect="1"/>
          </xdr:cNvSpPr>
        </xdr:nvSpPr>
        <xdr:spPr>
          <a:xfrm>
            <a:off x="120" y="1243"/>
            <a:ext cx="4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 A</a:t>
            </a:r>
          </a:p>
        </xdr:txBody>
      </xdr:sp>
      <xdr:sp>
        <xdr:nvSpPr>
          <xdr:cNvPr id="5" name="Rectangle 5"/>
          <xdr:cNvSpPr>
            <a:spLocks noChangeAspect="1"/>
          </xdr:cNvSpPr>
        </xdr:nvSpPr>
        <xdr:spPr>
          <a:xfrm>
            <a:off x="416" y="1243"/>
            <a:ext cx="4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 B</a:t>
            </a:r>
          </a:p>
        </xdr:txBody>
      </xdr:sp>
      <xdr:sp>
        <xdr:nvSpPr>
          <xdr:cNvPr id="6" name="Line 6"/>
          <xdr:cNvSpPr>
            <a:spLocks noChangeAspect="1"/>
          </xdr:cNvSpPr>
        </xdr:nvSpPr>
        <xdr:spPr>
          <a:xfrm flipH="1">
            <a:off x="252" y="1207"/>
            <a:ext cx="78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 noChangeAspect="1"/>
          </xdr:cNvSpPr>
        </xdr:nvSpPr>
        <xdr:spPr>
          <a:xfrm>
            <a:off x="328" y="1204"/>
            <a:ext cx="47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RAISE</a:t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43" y="1327"/>
            <a:ext cx="46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 noChangeAspect="1"/>
          </xdr:cNvSpPr>
        </xdr:nvSpPr>
        <xdr:spPr>
          <a:xfrm>
            <a:off x="196" y="1259"/>
            <a:ext cx="37" cy="35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0" name="Oval 10"/>
          <xdr:cNvSpPr>
            <a:spLocks noChangeAspect="1"/>
          </xdr:cNvSpPr>
        </xdr:nvSpPr>
        <xdr:spPr>
          <a:xfrm>
            <a:off x="336" y="1257"/>
            <a:ext cx="36" cy="39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1" name="Oval 11"/>
          <xdr:cNvSpPr>
            <a:spLocks noChangeAspect="1"/>
          </xdr:cNvSpPr>
        </xdr:nvSpPr>
        <xdr:spPr>
          <a:xfrm>
            <a:off x="503" y="1283"/>
            <a:ext cx="37" cy="41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2" name="Oval 12"/>
          <xdr:cNvSpPr>
            <a:spLocks noChangeAspect="1"/>
          </xdr:cNvSpPr>
        </xdr:nvSpPr>
        <xdr:spPr>
          <a:xfrm>
            <a:off x="0" y="1290"/>
            <a:ext cx="38" cy="3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3" name="Polygon 13"/>
          <xdr:cNvSpPr>
            <a:spLocks noChangeAspect="1"/>
          </xdr:cNvSpPr>
        </xdr:nvSpPr>
        <xdr:spPr>
          <a:xfrm>
            <a:off x="46" y="1328"/>
            <a:ext cx="22" cy="38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Polygon 14"/>
          <xdr:cNvSpPr>
            <a:spLocks noChangeAspect="1"/>
          </xdr:cNvSpPr>
        </xdr:nvSpPr>
        <xdr:spPr>
          <a:xfrm>
            <a:off x="479" y="1328"/>
            <a:ext cx="22" cy="38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spect="1" noChangeArrowheads="1"/>
          </xdr:cNvSpPr>
        </xdr:nvSpPr>
        <xdr:spPr>
          <a:xfrm>
            <a:off x="112" y="1133"/>
            <a:ext cx="336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Typical mining steps by Breasts </a:t>
            </a:r>
          </a:p>
        </xdr:txBody>
      </xdr:sp>
      <xdr:sp>
        <xdr:nvSpPr>
          <xdr:cNvPr id="16" name="Polygon 16"/>
          <xdr:cNvSpPr>
            <a:spLocks noChangeAspect="1"/>
          </xdr:cNvSpPr>
        </xdr:nvSpPr>
        <xdr:spPr>
          <a:xfrm>
            <a:off x="223" y="1192"/>
            <a:ext cx="47" cy="101"/>
          </a:xfrm>
          <a:custGeom>
            <a:pathLst>
              <a:path h="72" w="37">
                <a:moveTo>
                  <a:pt x="0" y="0"/>
                </a:moveTo>
                <a:lnTo>
                  <a:pt x="17" y="0"/>
                </a:lnTo>
                <a:lnTo>
                  <a:pt x="37" y="72"/>
                </a:lnTo>
                <a:lnTo>
                  <a:pt x="21" y="7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Polygon 17"/>
          <xdr:cNvSpPr>
            <a:spLocks noChangeAspect="1"/>
          </xdr:cNvSpPr>
        </xdr:nvSpPr>
        <xdr:spPr>
          <a:xfrm>
            <a:off x="479" y="1292"/>
            <a:ext cx="22" cy="38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Polygon 18"/>
          <xdr:cNvSpPr>
            <a:spLocks noChangeAspect="1"/>
          </xdr:cNvSpPr>
        </xdr:nvSpPr>
        <xdr:spPr>
          <a:xfrm>
            <a:off x="46" y="1290"/>
            <a:ext cx="22" cy="38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419100</xdr:colOff>
      <xdr:row>20</xdr:row>
      <xdr:rowOff>38100</xdr:rowOff>
    </xdr:from>
    <xdr:to>
      <xdr:col>6</xdr:col>
      <xdr:colOff>238125</xdr:colOff>
      <xdr:row>37</xdr:row>
      <xdr:rowOff>66675</xdr:rowOff>
    </xdr:to>
    <xdr:grpSp>
      <xdr:nvGrpSpPr>
        <xdr:cNvPr id="19" name="Group 19"/>
        <xdr:cNvGrpSpPr>
          <a:grpSpLocks/>
        </xdr:cNvGrpSpPr>
      </xdr:nvGrpSpPr>
      <xdr:grpSpPr>
        <a:xfrm>
          <a:off x="419100" y="3314700"/>
          <a:ext cx="4391025" cy="2781300"/>
          <a:chOff x="44" y="350"/>
          <a:chExt cx="461" cy="292"/>
        </a:xfrm>
        <a:solidFill>
          <a:srgbClr val="FFFFFF"/>
        </a:solidFill>
      </xdr:grpSpPr>
      <xdr:sp>
        <xdr:nvSpPr>
          <xdr:cNvPr id="20" name="AutoShape 20"/>
          <xdr:cNvSpPr>
            <a:spLocks/>
          </xdr:cNvSpPr>
        </xdr:nvSpPr>
        <xdr:spPr>
          <a:xfrm>
            <a:off x="113" y="521"/>
            <a:ext cx="357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127" y="474"/>
            <a:ext cx="343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125" y="451"/>
            <a:ext cx="345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Polygon 23"/>
          <xdr:cNvSpPr>
            <a:spLocks/>
          </xdr:cNvSpPr>
        </xdr:nvSpPr>
        <xdr:spPr>
          <a:xfrm>
            <a:off x="114" y="446"/>
            <a:ext cx="16" cy="76"/>
          </a:xfrm>
          <a:custGeom>
            <a:pathLst>
              <a:path h="84" w="17">
                <a:moveTo>
                  <a:pt x="0" y="83"/>
                </a:moveTo>
                <a:lnTo>
                  <a:pt x="0" y="0"/>
                </a:lnTo>
                <a:lnTo>
                  <a:pt x="17" y="1"/>
                </a:lnTo>
                <a:lnTo>
                  <a:pt x="17" y="84"/>
                </a:lnTo>
                <a:lnTo>
                  <a:pt x="0" y="8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Polygon 24"/>
          <xdr:cNvSpPr>
            <a:spLocks/>
          </xdr:cNvSpPr>
        </xdr:nvSpPr>
        <xdr:spPr>
          <a:xfrm>
            <a:off x="114" y="545"/>
            <a:ext cx="356" cy="68"/>
          </a:xfrm>
          <a:custGeom>
            <a:pathLst>
              <a:path h="67" w="367">
                <a:moveTo>
                  <a:pt x="0" y="67"/>
                </a:moveTo>
                <a:lnTo>
                  <a:pt x="0" y="0"/>
                </a:lnTo>
                <a:lnTo>
                  <a:pt x="367" y="0"/>
                </a:lnTo>
                <a:lnTo>
                  <a:pt x="367" y="67"/>
                </a:lnTo>
                <a:lnTo>
                  <a:pt x="0" y="6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92" y="382"/>
            <a:ext cx="60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RAISE</a:t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113" y="560"/>
            <a:ext cx="35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27"/>
          <xdr:cNvSpPr>
            <a:spLocks noChangeAspect="1"/>
          </xdr:cNvSpPr>
        </xdr:nvSpPr>
        <xdr:spPr>
          <a:xfrm>
            <a:off x="90" y="498"/>
            <a:ext cx="27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28" name="Oval 28"/>
          <xdr:cNvSpPr>
            <a:spLocks noChangeAspect="1"/>
          </xdr:cNvSpPr>
        </xdr:nvSpPr>
        <xdr:spPr>
          <a:xfrm>
            <a:off x="252" y="496"/>
            <a:ext cx="24" cy="25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29" name="Oval 29"/>
          <xdr:cNvSpPr>
            <a:spLocks noChangeAspect="1"/>
          </xdr:cNvSpPr>
        </xdr:nvSpPr>
        <xdr:spPr>
          <a:xfrm>
            <a:off x="470" y="536"/>
            <a:ext cx="25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30" name="Oval 30"/>
          <xdr:cNvSpPr>
            <a:spLocks noChangeAspect="1"/>
          </xdr:cNvSpPr>
        </xdr:nvSpPr>
        <xdr:spPr>
          <a:xfrm>
            <a:off x="218" y="521"/>
            <a:ext cx="23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31" name="Oval 31"/>
          <xdr:cNvSpPr>
            <a:spLocks noChangeAspect="1"/>
          </xdr:cNvSpPr>
        </xdr:nvSpPr>
        <xdr:spPr>
          <a:xfrm>
            <a:off x="468" y="506"/>
            <a:ext cx="26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32" name="Polygon 32"/>
          <xdr:cNvSpPr>
            <a:spLocks/>
          </xdr:cNvSpPr>
        </xdr:nvSpPr>
        <xdr:spPr>
          <a:xfrm>
            <a:off x="449" y="558"/>
            <a:ext cx="17" cy="56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Polygon 33"/>
          <xdr:cNvSpPr>
            <a:spLocks/>
          </xdr:cNvSpPr>
        </xdr:nvSpPr>
        <xdr:spPr>
          <a:xfrm>
            <a:off x="63" y="531"/>
            <a:ext cx="53" cy="15"/>
          </a:xfrm>
          <a:custGeom>
            <a:pathLst>
              <a:path h="17" w="54">
                <a:moveTo>
                  <a:pt x="0" y="17"/>
                </a:moveTo>
                <a:lnTo>
                  <a:pt x="54" y="16"/>
                </a:lnTo>
                <a:lnTo>
                  <a:pt x="53" y="0"/>
                </a:lnTo>
                <a:lnTo>
                  <a:pt x="0" y="0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130" y="497"/>
            <a:ext cx="340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Polygon 35"/>
          <xdr:cNvSpPr>
            <a:spLocks/>
          </xdr:cNvSpPr>
        </xdr:nvSpPr>
        <xdr:spPr>
          <a:xfrm>
            <a:off x="63" y="436"/>
            <a:ext cx="53" cy="15"/>
          </a:xfrm>
          <a:custGeom>
            <a:pathLst>
              <a:path h="17" w="54">
                <a:moveTo>
                  <a:pt x="0" y="17"/>
                </a:moveTo>
                <a:lnTo>
                  <a:pt x="54" y="16"/>
                </a:lnTo>
                <a:lnTo>
                  <a:pt x="53" y="0"/>
                </a:lnTo>
                <a:lnTo>
                  <a:pt x="0" y="0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113" y="496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113" y="473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Polygon 38"/>
          <xdr:cNvSpPr>
            <a:spLocks/>
          </xdr:cNvSpPr>
        </xdr:nvSpPr>
        <xdr:spPr>
          <a:xfrm>
            <a:off x="449" y="454"/>
            <a:ext cx="17" cy="29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Polygon 39"/>
          <xdr:cNvSpPr>
            <a:spLocks/>
          </xdr:cNvSpPr>
        </xdr:nvSpPr>
        <xdr:spPr>
          <a:xfrm>
            <a:off x="449" y="527"/>
            <a:ext cx="17" cy="30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40"/>
          <xdr:cNvSpPr>
            <a:spLocks noChangeAspect="1"/>
          </xdr:cNvSpPr>
        </xdr:nvSpPr>
        <xdr:spPr>
          <a:xfrm>
            <a:off x="89" y="472"/>
            <a:ext cx="26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41" name="Oval 41"/>
          <xdr:cNvSpPr>
            <a:spLocks noChangeAspect="1"/>
          </xdr:cNvSpPr>
        </xdr:nvSpPr>
        <xdr:spPr>
          <a:xfrm>
            <a:off x="91" y="446"/>
            <a:ext cx="23" cy="21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42" name="Polygon 42"/>
          <xdr:cNvSpPr>
            <a:spLocks/>
          </xdr:cNvSpPr>
        </xdr:nvSpPr>
        <xdr:spPr>
          <a:xfrm>
            <a:off x="449" y="503"/>
            <a:ext cx="17" cy="26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43"/>
          <xdr:cNvSpPr>
            <a:spLocks noChangeAspect="1"/>
          </xdr:cNvSpPr>
        </xdr:nvSpPr>
        <xdr:spPr>
          <a:xfrm>
            <a:off x="288" y="471"/>
            <a:ext cx="27" cy="23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44" name="Polygon 44"/>
          <xdr:cNvSpPr>
            <a:spLocks/>
          </xdr:cNvSpPr>
        </xdr:nvSpPr>
        <xdr:spPr>
          <a:xfrm>
            <a:off x="449" y="479"/>
            <a:ext cx="17" cy="24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45"/>
          <xdr:cNvSpPr>
            <a:spLocks noChangeAspect="1"/>
          </xdr:cNvSpPr>
        </xdr:nvSpPr>
        <xdr:spPr>
          <a:xfrm>
            <a:off x="466" y="477"/>
            <a:ext cx="26" cy="23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46" name="Oval 46"/>
          <xdr:cNvSpPr>
            <a:spLocks noChangeAspect="1"/>
          </xdr:cNvSpPr>
        </xdr:nvSpPr>
        <xdr:spPr>
          <a:xfrm>
            <a:off x="320" y="445"/>
            <a:ext cx="30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47" name="Oval 47"/>
          <xdr:cNvSpPr>
            <a:spLocks noChangeAspect="1"/>
          </xdr:cNvSpPr>
        </xdr:nvSpPr>
        <xdr:spPr>
          <a:xfrm>
            <a:off x="466" y="446"/>
            <a:ext cx="29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11</a:t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 flipH="1">
            <a:off x="65" y="392"/>
            <a:ext cx="2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42" y="565"/>
            <a:ext cx="280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level of broken ore before step 1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213" y="350"/>
            <a:ext cx="292" cy="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Raise outside the stope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(Breasts)</a:t>
            </a:r>
          </a:p>
        </xdr:txBody>
      </xdr:sp>
      <xdr:sp>
        <xdr:nvSpPr>
          <xdr:cNvPr id="51" name="Polygon 51"/>
          <xdr:cNvSpPr>
            <a:spLocks/>
          </xdr:cNvSpPr>
        </xdr:nvSpPr>
        <xdr:spPr>
          <a:xfrm>
            <a:off x="44" y="374"/>
            <a:ext cx="20" cy="268"/>
          </a:xfrm>
          <a:custGeom>
            <a:pathLst>
              <a:path h="207" w="21">
                <a:moveTo>
                  <a:pt x="21" y="207"/>
                </a:moveTo>
                <a:lnTo>
                  <a:pt x="21" y="0"/>
                </a:lnTo>
                <a:lnTo>
                  <a:pt x="0" y="0"/>
                </a:lnTo>
                <a:lnTo>
                  <a:pt x="0" y="207"/>
                </a:lnTo>
                <a:lnTo>
                  <a:pt x="21" y="20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4</xdr:row>
      <xdr:rowOff>123825</xdr:rowOff>
    </xdr:from>
    <xdr:to>
      <xdr:col>5</xdr:col>
      <xdr:colOff>704850</xdr:colOff>
      <xdr:row>15</xdr:row>
      <xdr:rowOff>114300</xdr:rowOff>
    </xdr:to>
    <xdr:grpSp>
      <xdr:nvGrpSpPr>
        <xdr:cNvPr id="52" name="Group 52"/>
        <xdr:cNvGrpSpPr>
          <a:grpSpLocks/>
        </xdr:cNvGrpSpPr>
      </xdr:nvGrpSpPr>
      <xdr:grpSpPr>
        <a:xfrm>
          <a:off x="209550" y="800100"/>
          <a:ext cx="4305300" cy="1771650"/>
          <a:chOff x="22" y="86"/>
          <a:chExt cx="452" cy="186"/>
        </a:xfrm>
        <a:solidFill>
          <a:srgbClr val="FFFFFF"/>
        </a:solidFill>
      </xdr:grpSpPr>
      <xdr:grpSp>
        <xdr:nvGrpSpPr>
          <xdr:cNvPr id="53" name="Group 53"/>
          <xdr:cNvGrpSpPr>
            <a:grpSpLocks/>
          </xdr:cNvGrpSpPr>
        </xdr:nvGrpSpPr>
        <xdr:grpSpPr>
          <a:xfrm>
            <a:off x="22" y="141"/>
            <a:ext cx="452" cy="131"/>
            <a:chOff x="56" y="1356"/>
            <a:chExt cx="452" cy="131"/>
          </a:xfrm>
          <a:solidFill>
            <a:srgbClr val="FFFFFF"/>
          </a:solidFill>
        </xdr:grpSpPr>
        <xdr:sp>
          <xdr:nvSpPr>
            <xdr:cNvPr id="54" name="Polygon 54"/>
            <xdr:cNvSpPr>
              <a:spLocks/>
            </xdr:cNvSpPr>
          </xdr:nvSpPr>
          <xdr:spPr>
            <a:xfrm>
              <a:off x="91" y="1356"/>
              <a:ext cx="396" cy="128"/>
            </a:xfrm>
            <a:custGeom>
              <a:pathLst>
                <a:path h="142" w="363">
                  <a:moveTo>
                    <a:pt x="5" y="140"/>
                  </a:moveTo>
                  <a:cubicBezTo>
                    <a:pt x="8" y="142"/>
                    <a:pt x="3" y="115"/>
                    <a:pt x="5" y="103"/>
                  </a:cubicBezTo>
                  <a:cubicBezTo>
                    <a:pt x="6" y="99"/>
                    <a:pt x="7" y="88"/>
                    <a:pt x="7" y="88"/>
                  </a:cubicBezTo>
                  <a:cubicBezTo>
                    <a:pt x="8" y="83"/>
                    <a:pt x="0" y="73"/>
                    <a:pt x="8" y="70"/>
                  </a:cubicBezTo>
                  <a:cubicBezTo>
                    <a:pt x="16" y="67"/>
                    <a:pt x="37" y="69"/>
                    <a:pt x="56" y="70"/>
                  </a:cubicBezTo>
                  <a:cubicBezTo>
                    <a:pt x="61" y="70"/>
                    <a:pt x="113" y="72"/>
                    <a:pt x="121" y="74"/>
                  </a:cubicBezTo>
                  <a:cubicBezTo>
                    <a:pt x="127" y="74"/>
                    <a:pt x="139" y="77"/>
                    <a:pt x="139" y="77"/>
                  </a:cubicBezTo>
                  <a:cubicBezTo>
                    <a:pt x="141" y="77"/>
                    <a:pt x="143" y="77"/>
                    <a:pt x="145" y="75"/>
                  </a:cubicBezTo>
                  <a:cubicBezTo>
                    <a:pt x="149" y="70"/>
                    <a:pt x="137" y="37"/>
                    <a:pt x="134" y="32"/>
                  </a:cubicBezTo>
                  <a:cubicBezTo>
                    <a:pt x="132" y="19"/>
                    <a:pt x="126" y="11"/>
                    <a:pt x="123" y="0"/>
                  </a:cubicBezTo>
                  <a:cubicBezTo>
                    <a:pt x="129" y="0"/>
                    <a:pt x="135" y="0"/>
                    <a:pt x="141" y="2"/>
                  </a:cubicBezTo>
                  <a:cubicBezTo>
                    <a:pt x="152" y="5"/>
                    <a:pt x="157" y="72"/>
                    <a:pt x="167" y="77"/>
                  </a:cubicBezTo>
                  <a:cubicBezTo>
                    <a:pt x="174" y="74"/>
                    <a:pt x="183" y="74"/>
                    <a:pt x="189" y="72"/>
                  </a:cubicBezTo>
                  <a:cubicBezTo>
                    <a:pt x="211" y="74"/>
                    <a:pt x="232" y="77"/>
                    <a:pt x="254" y="79"/>
                  </a:cubicBezTo>
                  <a:cubicBezTo>
                    <a:pt x="277" y="79"/>
                    <a:pt x="299" y="77"/>
                    <a:pt x="321" y="77"/>
                  </a:cubicBezTo>
                  <a:cubicBezTo>
                    <a:pt x="349" y="77"/>
                    <a:pt x="343" y="68"/>
                    <a:pt x="352" y="84"/>
                  </a:cubicBezTo>
                  <a:cubicBezTo>
                    <a:pt x="357" y="109"/>
                    <a:pt x="363" y="114"/>
                    <a:pt x="363" y="142"/>
                  </a:cubicBezTo>
                  <a:lnTo>
                    <a:pt x="6" y="142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Rectangle 55"/>
            <xdr:cNvSpPr>
              <a:spLocks/>
            </xdr:cNvSpPr>
          </xdr:nvSpPr>
          <xdr:spPr>
            <a:xfrm>
              <a:off x="127" y="1369"/>
              <a:ext cx="57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Part A</a:t>
              </a:r>
            </a:p>
          </xdr:txBody>
        </xdr:sp>
        <xdr:sp>
          <xdr:nvSpPr>
            <xdr:cNvPr id="56" name="Rectangle 56"/>
            <xdr:cNvSpPr>
              <a:spLocks/>
            </xdr:cNvSpPr>
          </xdr:nvSpPr>
          <xdr:spPr>
            <a:xfrm>
              <a:off x="369" y="1395"/>
              <a:ext cx="56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Part B</a:t>
              </a:r>
            </a:p>
          </xdr:txBody>
        </xdr:sp>
        <xdr:sp>
          <xdr:nvSpPr>
            <xdr:cNvPr id="57" name="Line 57"/>
            <xdr:cNvSpPr>
              <a:spLocks/>
            </xdr:cNvSpPr>
          </xdr:nvSpPr>
          <xdr:spPr>
            <a:xfrm flipH="1">
              <a:off x="251" y="1370"/>
              <a:ext cx="39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Rectangle 58"/>
            <xdr:cNvSpPr>
              <a:spLocks/>
            </xdr:cNvSpPr>
          </xdr:nvSpPr>
          <xdr:spPr>
            <a:xfrm>
              <a:off x="291" y="1360"/>
              <a:ext cx="98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RAISE</a:t>
              </a:r>
            </a:p>
          </xdr:txBody>
        </xdr:sp>
        <xdr:sp>
          <xdr:nvSpPr>
            <xdr:cNvPr id="59" name="Line 59"/>
            <xdr:cNvSpPr>
              <a:spLocks/>
            </xdr:cNvSpPr>
          </xdr:nvSpPr>
          <xdr:spPr>
            <a:xfrm>
              <a:off x="100" y="1454"/>
              <a:ext cx="384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Oval 60"/>
            <xdr:cNvSpPr>
              <a:spLocks noChangeAspect="1"/>
            </xdr:cNvSpPr>
          </xdr:nvSpPr>
          <xdr:spPr>
            <a:xfrm>
              <a:off x="56" y="1399"/>
              <a:ext cx="30" cy="26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61" name="Oval 61"/>
            <xdr:cNvSpPr>
              <a:spLocks noChangeAspect="1"/>
            </xdr:cNvSpPr>
          </xdr:nvSpPr>
          <xdr:spPr>
            <a:xfrm>
              <a:off x="323" y="1395"/>
              <a:ext cx="30" cy="30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3</a:t>
              </a:r>
            </a:p>
          </xdr:txBody>
        </xdr:sp>
        <xdr:sp>
          <xdr:nvSpPr>
            <xdr:cNvPr id="62" name="Oval 62"/>
            <xdr:cNvSpPr>
              <a:spLocks noChangeAspect="1"/>
            </xdr:cNvSpPr>
          </xdr:nvSpPr>
          <xdr:spPr>
            <a:xfrm>
              <a:off x="65" y="1454"/>
              <a:ext cx="33" cy="33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4</a:t>
              </a:r>
            </a:p>
          </xdr:txBody>
        </xdr:sp>
        <xdr:sp>
          <xdr:nvSpPr>
            <xdr:cNvPr id="63" name="Oval 63"/>
            <xdr:cNvSpPr>
              <a:spLocks noChangeAspect="1"/>
            </xdr:cNvSpPr>
          </xdr:nvSpPr>
          <xdr:spPr>
            <a:xfrm>
              <a:off x="162" y="1391"/>
              <a:ext cx="27" cy="28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64" name="Polygon 64"/>
            <xdr:cNvSpPr>
              <a:spLocks/>
            </xdr:cNvSpPr>
          </xdr:nvSpPr>
          <xdr:spPr>
            <a:xfrm>
              <a:off x="96" y="1393"/>
              <a:ext cx="19" cy="27"/>
            </a:xfrm>
            <a:custGeom>
              <a:pathLst>
                <a:path h="25" w="15">
                  <a:moveTo>
                    <a:pt x="1" y="25"/>
                  </a:moveTo>
                  <a:lnTo>
                    <a:pt x="0" y="1"/>
                  </a:lnTo>
                  <a:lnTo>
                    <a:pt x="13" y="0"/>
                  </a:lnTo>
                  <a:lnTo>
                    <a:pt x="15" y="22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Polygon 65"/>
            <xdr:cNvSpPr>
              <a:spLocks/>
            </xdr:cNvSpPr>
          </xdr:nvSpPr>
          <xdr:spPr>
            <a:xfrm>
              <a:off x="453" y="1391"/>
              <a:ext cx="25" cy="35"/>
            </a:xfrm>
            <a:custGeom>
              <a:pathLst>
                <a:path h="27" w="21">
                  <a:moveTo>
                    <a:pt x="15" y="27"/>
                  </a:moveTo>
                  <a:lnTo>
                    <a:pt x="21" y="3"/>
                  </a:lnTo>
                  <a:lnTo>
                    <a:pt x="7" y="0"/>
                  </a:lnTo>
                  <a:lnTo>
                    <a:pt x="0" y="26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Oval 66"/>
            <xdr:cNvSpPr>
              <a:spLocks noChangeAspect="1"/>
            </xdr:cNvSpPr>
          </xdr:nvSpPr>
          <xdr:spPr>
            <a:xfrm>
              <a:off x="483" y="1389"/>
              <a:ext cx="25" cy="26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67" name="Line 67"/>
            <xdr:cNvSpPr>
              <a:spLocks/>
            </xdr:cNvSpPr>
          </xdr:nvSpPr>
          <xdr:spPr>
            <a:xfrm>
              <a:off x="100" y="1392"/>
              <a:ext cx="14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68"/>
            <xdr:cNvSpPr>
              <a:spLocks/>
            </xdr:cNvSpPr>
          </xdr:nvSpPr>
          <xdr:spPr>
            <a:xfrm flipH="1" flipV="1">
              <a:off x="259" y="1392"/>
              <a:ext cx="2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Oval 69"/>
            <xdr:cNvSpPr>
              <a:spLocks noChangeAspect="1"/>
            </xdr:cNvSpPr>
          </xdr:nvSpPr>
          <xdr:spPr>
            <a:xfrm>
              <a:off x="479" y="1458"/>
              <a:ext cx="28" cy="26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5</a:t>
              </a:r>
            </a:p>
          </xdr:txBody>
        </xdr:sp>
        <xdr:sp>
          <xdr:nvSpPr>
            <xdr:cNvPr id="70" name="Polygon 70"/>
            <xdr:cNvSpPr>
              <a:spLocks/>
            </xdr:cNvSpPr>
          </xdr:nvSpPr>
          <xdr:spPr>
            <a:xfrm>
              <a:off x="102" y="1455"/>
              <a:ext cx="18" cy="29"/>
            </a:xfrm>
            <a:custGeom>
              <a:pathLst>
                <a:path h="27" w="17">
                  <a:moveTo>
                    <a:pt x="17" y="27"/>
                  </a:moveTo>
                  <a:lnTo>
                    <a:pt x="17" y="0"/>
                  </a:lnTo>
                  <a:lnTo>
                    <a:pt x="0" y="0"/>
                  </a:lnTo>
                  <a:lnTo>
                    <a:pt x="0" y="27"/>
                  </a:lnTo>
                </a:path>
              </a:pathLst>
            </a:custGeom>
            <a:pattFill prst="lt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Polygon 71"/>
            <xdr:cNvSpPr>
              <a:spLocks/>
            </xdr:cNvSpPr>
          </xdr:nvSpPr>
          <xdr:spPr>
            <a:xfrm>
              <a:off x="459" y="1455"/>
              <a:ext cx="18" cy="29"/>
            </a:xfrm>
            <a:custGeom>
              <a:pathLst>
                <a:path h="27" w="17">
                  <a:moveTo>
                    <a:pt x="17" y="27"/>
                  </a:moveTo>
                  <a:lnTo>
                    <a:pt x="17" y="0"/>
                  </a:lnTo>
                  <a:lnTo>
                    <a:pt x="0" y="0"/>
                  </a:lnTo>
                  <a:lnTo>
                    <a:pt x="0" y="27"/>
                  </a:lnTo>
                </a:path>
              </a:pathLst>
            </a:custGeom>
            <a:pattFill prst="lt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2" name="TextBox 72"/>
          <xdr:cNvSpPr txBox="1">
            <a:spLocks noChangeArrowheads="1"/>
          </xdr:cNvSpPr>
        </xdr:nvSpPr>
        <xdr:spPr>
          <a:xfrm>
            <a:off x="79" y="86"/>
            <a:ext cx="363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Typical mining steps by Uppers</a:t>
            </a:r>
          </a:p>
        </xdr:txBody>
      </xdr:sp>
    </xdr:grpSp>
    <xdr:clientData/>
  </xdr:twoCellAnchor>
  <xdr:twoCellAnchor>
    <xdr:from>
      <xdr:col>0</xdr:col>
      <xdr:colOff>657225</xdr:colOff>
      <xdr:row>42</xdr:row>
      <xdr:rowOff>123825</xdr:rowOff>
    </xdr:from>
    <xdr:to>
      <xdr:col>5</xdr:col>
      <xdr:colOff>352425</xdr:colOff>
      <xdr:row>63</xdr:row>
      <xdr:rowOff>28575</xdr:rowOff>
    </xdr:to>
    <xdr:grpSp>
      <xdr:nvGrpSpPr>
        <xdr:cNvPr id="73" name="Group 73"/>
        <xdr:cNvGrpSpPr>
          <a:grpSpLocks/>
        </xdr:cNvGrpSpPr>
      </xdr:nvGrpSpPr>
      <xdr:grpSpPr>
        <a:xfrm>
          <a:off x="657225" y="6962775"/>
          <a:ext cx="3505200" cy="3305175"/>
          <a:chOff x="69" y="733"/>
          <a:chExt cx="368" cy="347"/>
        </a:xfrm>
        <a:solidFill>
          <a:srgbClr val="FFFFFF"/>
        </a:solidFill>
      </xdr:grpSpPr>
      <xdr:sp>
        <xdr:nvSpPr>
          <xdr:cNvPr id="74" name="Polygon 74"/>
          <xdr:cNvSpPr>
            <a:spLocks/>
          </xdr:cNvSpPr>
        </xdr:nvSpPr>
        <xdr:spPr>
          <a:xfrm>
            <a:off x="70" y="975"/>
            <a:ext cx="367" cy="67"/>
          </a:xfrm>
          <a:custGeom>
            <a:pathLst>
              <a:path h="67" w="367">
                <a:moveTo>
                  <a:pt x="0" y="67"/>
                </a:moveTo>
                <a:lnTo>
                  <a:pt x="0" y="0"/>
                </a:lnTo>
                <a:lnTo>
                  <a:pt x="367" y="0"/>
                </a:lnTo>
                <a:lnTo>
                  <a:pt x="367" y="67"/>
                </a:lnTo>
                <a:lnTo>
                  <a:pt x="0" y="6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75"/>
          <xdr:cNvSpPr>
            <a:spLocks/>
          </xdr:cNvSpPr>
        </xdr:nvSpPr>
        <xdr:spPr>
          <a:xfrm>
            <a:off x="289" y="821"/>
            <a:ext cx="81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RAISE</a:t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69" y="990"/>
            <a:ext cx="36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77"/>
          <xdr:cNvSpPr>
            <a:spLocks noChangeAspect="1"/>
          </xdr:cNvSpPr>
        </xdr:nvSpPr>
        <xdr:spPr>
          <a:xfrm>
            <a:off x="258" y="928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78" name="AutoShape 78"/>
          <xdr:cNvSpPr>
            <a:spLocks/>
          </xdr:cNvSpPr>
        </xdr:nvSpPr>
        <xdr:spPr>
          <a:xfrm>
            <a:off x="70" y="953"/>
            <a:ext cx="366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 flipH="1">
            <a:off x="255" y="832"/>
            <a:ext cx="33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TextBox 80"/>
          <xdr:cNvSpPr txBox="1">
            <a:spLocks noChangeArrowheads="1"/>
          </xdr:cNvSpPr>
        </xdr:nvSpPr>
        <xdr:spPr>
          <a:xfrm>
            <a:off x="100" y="995"/>
            <a:ext cx="308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level of broken ore before step 1</a:t>
            </a:r>
          </a:p>
        </xdr:txBody>
      </xdr:sp>
      <xdr:sp>
        <xdr:nvSpPr>
          <xdr:cNvPr id="81" name="TextBox 81"/>
          <xdr:cNvSpPr txBox="1">
            <a:spLocks noChangeArrowheads="1"/>
          </xdr:cNvSpPr>
        </xdr:nvSpPr>
        <xdr:spPr>
          <a:xfrm>
            <a:off x="144" y="733"/>
            <a:ext cx="207" cy="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Central raise 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(Breasts)</a:t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>
            <a:off x="255" y="953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>
            <a:off x="207" y="953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Polygon 84"/>
          <xdr:cNvSpPr>
            <a:spLocks/>
          </xdr:cNvSpPr>
        </xdr:nvSpPr>
        <xdr:spPr>
          <a:xfrm>
            <a:off x="234" y="807"/>
            <a:ext cx="21" cy="168"/>
          </a:xfrm>
          <a:custGeom>
            <a:pathLst>
              <a:path h="207" w="21">
                <a:moveTo>
                  <a:pt x="21" y="207"/>
                </a:moveTo>
                <a:lnTo>
                  <a:pt x="21" y="0"/>
                </a:lnTo>
                <a:lnTo>
                  <a:pt x="0" y="0"/>
                </a:lnTo>
                <a:lnTo>
                  <a:pt x="0" y="207"/>
                </a:lnTo>
                <a:lnTo>
                  <a:pt x="21" y="20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208" y="927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>
            <a:off x="180" y="953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>
            <a:off x="282" y="953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88"/>
          <xdr:cNvSpPr>
            <a:spLocks noChangeAspect="1"/>
          </xdr:cNvSpPr>
        </xdr:nvSpPr>
        <xdr:spPr>
          <a:xfrm>
            <a:off x="181" y="928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287" y="928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71" y="1055"/>
            <a:ext cx="3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TextBox 91"/>
          <xdr:cNvSpPr txBox="1">
            <a:spLocks noChangeArrowheads="1"/>
          </xdr:cNvSpPr>
        </xdr:nvSpPr>
        <xdr:spPr>
          <a:xfrm>
            <a:off x="165" y="1059"/>
            <a:ext cx="20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approximately 50 m in length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9"/>
  <sheetViews>
    <sheetView tabSelected="1" zoomScale="75" zoomScaleNormal="75" workbookViewId="0" topLeftCell="A84">
      <selection activeCell="H98" sqref="H98"/>
    </sheetView>
  </sheetViews>
  <sheetFormatPr defaultColWidth="9.140625" defaultRowHeight="12.75"/>
  <cols>
    <col min="1" max="1" width="20.28125" style="0" customWidth="1"/>
    <col min="2" max="2" width="11.421875" style="0" customWidth="1"/>
    <col min="3" max="3" width="15.421875" style="0" customWidth="1"/>
    <col min="4" max="4" width="13.8515625" style="0" customWidth="1"/>
    <col min="5" max="5" width="15.7109375" style="0" customWidth="1"/>
    <col min="6" max="6" width="13.28125" style="0" customWidth="1"/>
    <col min="7" max="7" width="13.8515625" style="0" customWidth="1"/>
    <col min="8" max="8" width="14.57421875" style="0" customWidth="1"/>
    <col min="9" max="9" width="16.140625" style="0" customWidth="1"/>
    <col min="10" max="11" width="11.421875" style="0" customWidth="1"/>
    <col min="12" max="12" width="3.00390625" style="0" bestFit="1" customWidth="1"/>
    <col min="13" max="16384" width="11.421875" style="0" customWidth="1"/>
  </cols>
  <sheetData>
    <row r="2" spans="1:6" ht="31.5">
      <c r="A2" s="161" t="s">
        <v>183</v>
      </c>
      <c r="F2" s="159"/>
    </row>
    <row r="3" spans="1:9" ht="13.5" thickBot="1">
      <c r="A3" s="7"/>
      <c r="B3" s="7"/>
      <c r="C3" s="7"/>
      <c r="D3" s="7"/>
      <c r="E3" s="7"/>
      <c r="F3" s="7"/>
      <c r="G3" s="7"/>
      <c r="H3" s="7"/>
      <c r="I3" s="189" t="s">
        <v>192</v>
      </c>
    </row>
    <row r="4" ht="24.75">
      <c r="A4" s="101" t="s">
        <v>181</v>
      </c>
    </row>
    <row r="5" spans="3:6" ht="12.75">
      <c r="C5" s="10"/>
      <c r="D5" s="10"/>
      <c r="E5" s="10"/>
      <c r="F5" s="10"/>
    </row>
    <row r="6" spans="1:3" ht="12.75">
      <c r="A6" s="10" t="s">
        <v>129</v>
      </c>
      <c r="C6" s="219"/>
    </row>
    <row r="7" spans="3:9" ht="12.75" customHeight="1">
      <c r="C7" s="247" t="s">
        <v>55</v>
      </c>
      <c r="H7" s="10"/>
      <c r="I7" s="17" t="s">
        <v>58</v>
      </c>
    </row>
    <row r="8" spans="1:9" ht="12.75">
      <c r="A8" s="18" t="s">
        <v>53</v>
      </c>
      <c r="B8" s="19" t="s">
        <v>54</v>
      </c>
      <c r="C8" s="248"/>
      <c r="D8" s="171" t="s">
        <v>56</v>
      </c>
      <c r="E8" s="245" t="s">
        <v>170</v>
      </c>
      <c r="F8" s="245"/>
      <c r="H8" s="19" t="s">
        <v>57</v>
      </c>
      <c r="I8" s="20" t="s">
        <v>9</v>
      </c>
    </row>
    <row r="9" spans="1:9" ht="12.75">
      <c r="A9" s="66">
        <v>55</v>
      </c>
      <c r="B9" s="112">
        <v>1.8</v>
      </c>
      <c r="C9" s="66">
        <v>60</v>
      </c>
      <c r="D9" s="66">
        <v>80</v>
      </c>
      <c r="E9" s="246">
        <f>C9/COS((90-D9)*PI()/180)</f>
        <v>60.9255967131447</v>
      </c>
      <c r="F9" s="246"/>
      <c r="H9" s="66">
        <v>2.9</v>
      </c>
      <c r="I9" s="66">
        <v>1.38</v>
      </c>
    </row>
    <row r="12" spans="1:5" ht="12.75">
      <c r="A12" s="274" t="s">
        <v>10</v>
      </c>
      <c r="B12" s="274"/>
      <c r="C12" s="274" t="s">
        <v>62</v>
      </c>
      <c r="D12" s="274"/>
      <c r="E12" s="274"/>
    </row>
    <row r="13" spans="1:5" ht="12.75">
      <c r="A13" s="160" t="s">
        <v>59</v>
      </c>
      <c r="B13" s="160" t="s">
        <v>60</v>
      </c>
      <c r="C13" s="160" t="s">
        <v>59</v>
      </c>
      <c r="D13" s="160" t="s">
        <v>60</v>
      </c>
      <c r="E13" s="160" t="s">
        <v>61</v>
      </c>
    </row>
    <row r="14" spans="1:5" ht="12.75">
      <c r="A14" s="36">
        <f>+A9*C9*H9*(B9/SIN((D9)*PI()/180))</f>
        <v>17491.738816343845</v>
      </c>
      <c r="B14" s="112">
        <v>17.4</v>
      </c>
      <c r="C14" s="36">
        <f>A14*(1+E14)</f>
        <v>19240.91269797823</v>
      </c>
      <c r="D14" s="22">
        <f>(+A14*B14+A14*E14)/C14</f>
        <v>15.909090909090907</v>
      </c>
      <c r="E14" s="113">
        <v>0.1</v>
      </c>
    </row>
    <row r="19" spans="2:6" ht="12.75">
      <c r="B19" s="23"/>
      <c r="C19" s="24"/>
      <c r="D19" s="23"/>
      <c r="E19" s="24"/>
      <c r="F19" s="25"/>
    </row>
    <row r="20" spans="2:6" ht="12.75">
      <c r="B20" s="23"/>
      <c r="C20" s="24"/>
      <c r="D20" s="23"/>
      <c r="F20" s="26"/>
    </row>
    <row r="22" ht="24.75">
      <c r="A22" s="101" t="s">
        <v>63</v>
      </c>
    </row>
    <row r="23" spans="2:6" ht="12.75">
      <c r="B23" s="23"/>
      <c r="C23" s="24"/>
      <c r="D23" s="23"/>
      <c r="F23" s="26"/>
    </row>
    <row r="24" ht="19.5">
      <c r="A24" s="102" t="s">
        <v>11</v>
      </c>
    </row>
    <row r="25" spans="1:6" ht="19.5">
      <c r="A25" s="102"/>
      <c r="B25" s="23"/>
      <c r="C25" s="24"/>
      <c r="D25" s="23"/>
      <c r="E25" s="24"/>
      <c r="F25" s="25"/>
    </row>
    <row r="26" spans="3:8" ht="15.75">
      <c r="C26" s="257" t="s">
        <v>2</v>
      </c>
      <c r="D26" s="257"/>
      <c r="G26" s="264" t="s">
        <v>125</v>
      </c>
      <c r="H26" s="264" t="s">
        <v>126</v>
      </c>
    </row>
    <row r="27" spans="3:8" ht="15">
      <c r="C27" s="38" t="s">
        <v>47</v>
      </c>
      <c r="D27" s="38" t="s">
        <v>78</v>
      </c>
      <c r="E27" s="46" t="s">
        <v>127</v>
      </c>
      <c r="F27" s="58" t="s">
        <v>12</v>
      </c>
      <c r="G27" s="264"/>
      <c r="H27" s="264"/>
    </row>
    <row r="28" spans="1:8" ht="15">
      <c r="A28" s="47" t="s">
        <v>64</v>
      </c>
      <c r="B28" s="44"/>
      <c r="C28" s="103">
        <v>2.4</v>
      </c>
      <c r="D28" s="103">
        <v>2.6</v>
      </c>
      <c r="E28" s="6">
        <f aca="true" t="shared" si="0" ref="E28:E35">C28*D28*$H$9</f>
        <v>18.096</v>
      </c>
      <c r="F28" s="104">
        <v>2</v>
      </c>
      <c r="G28" s="105">
        <v>2.3</v>
      </c>
      <c r="H28" s="57">
        <f aca="true" t="shared" si="1" ref="H28:H35">+G28/F28</f>
        <v>1.15</v>
      </c>
    </row>
    <row r="29" spans="1:8" ht="15">
      <c r="A29" s="47" t="s">
        <v>65</v>
      </c>
      <c r="B29" s="44"/>
      <c r="C29" s="103">
        <v>2.6</v>
      </c>
      <c r="D29" s="103">
        <v>2.7</v>
      </c>
      <c r="E29" s="6">
        <f t="shared" si="0"/>
        <v>20.358</v>
      </c>
      <c r="F29" s="104">
        <v>2</v>
      </c>
      <c r="G29" s="105">
        <v>2.3</v>
      </c>
      <c r="H29" s="57">
        <f>+G29/F29</f>
        <v>1.15</v>
      </c>
    </row>
    <row r="30" spans="1:8" ht="15">
      <c r="A30" s="47" t="s">
        <v>66</v>
      </c>
      <c r="B30" s="44"/>
      <c r="C30" s="103">
        <v>3</v>
      </c>
      <c r="D30" s="103">
        <v>2.7</v>
      </c>
      <c r="E30" s="6">
        <f t="shared" si="0"/>
        <v>23.490000000000002</v>
      </c>
      <c r="F30" s="104">
        <v>2</v>
      </c>
      <c r="G30" s="105">
        <v>1.8</v>
      </c>
      <c r="H30" s="57">
        <f t="shared" si="1"/>
        <v>0.9</v>
      </c>
    </row>
    <row r="31" spans="1:8" ht="15">
      <c r="A31" s="47" t="s">
        <v>13</v>
      </c>
      <c r="B31" s="44"/>
      <c r="C31" s="103">
        <v>1.8</v>
      </c>
      <c r="D31" s="103">
        <v>2.4</v>
      </c>
      <c r="E31" s="6">
        <f t="shared" si="0"/>
        <v>12.528</v>
      </c>
      <c r="F31" s="104">
        <v>2</v>
      </c>
      <c r="G31" s="105">
        <v>1.8</v>
      </c>
      <c r="H31" s="57">
        <f t="shared" si="1"/>
        <v>0.9</v>
      </c>
    </row>
    <row r="32" spans="1:8" ht="15">
      <c r="A32" s="47" t="s">
        <v>67</v>
      </c>
      <c r="B32" s="44"/>
      <c r="C32" s="103">
        <v>2.7</v>
      </c>
      <c r="D32" s="103">
        <v>2.7</v>
      </c>
      <c r="E32" s="6">
        <f t="shared" si="0"/>
        <v>21.141000000000002</v>
      </c>
      <c r="F32" s="104">
        <v>2</v>
      </c>
      <c r="G32" s="105">
        <v>2.3</v>
      </c>
      <c r="H32" s="57">
        <f t="shared" si="1"/>
        <v>1.15</v>
      </c>
    </row>
    <row r="33" spans="1:8" ht="15">
      <c r="A33" s="47" t="s">
        <v>189</v>
      </c>
      <c r="B33" s="44"/>
      <c r="C33" s="103">
        <v>1.8</v>
      </c>
      <c r="D33" s="103">
        <v>2.4</v>
      </c>
      <c r="E33" s="6">
        <f>C33*D33*$H$13</f>
        <v>0</v>
      </c>
      <c r="F33" s="104">
        <v>2</v>
      </c>
      <c r="G33" s="105">
        <v>2.3</v>
      </c>
      <c r="H33" s="57">
        <f t="shared" si="1"/>
        <v>1.15</v>
      </c>
    </row>
    <row r="34" spans="1:8" ht="15">
      <c r="A34" s="47" t="s">
        <v>14</v>
      </c>
      <c r="B34" s="44"/>
      <c r="C34" s="103">
        <v>2.4</v>
      </c>
      <c r="D34" s="103">
        <v>2.4</v>
      </c>
      <c r="E34" s="6">
        <f t="shared" si="0"/>
        <v>16.704</v>
      </c>
      <c r="F34" s="104">
        <v>2</v>
      </c>
      <c r="G34" s="105">
        <v>2.3</v>
      </c>
      <c r="H34" s="57">
        <f t="shared" si="1"/>
        <v>1.15</v>
      </c>
    </row>
    <row r="35" spans="1:8" ht="15">
      <c r="A35" s="47" t="s">
        <v>15</v>
      </c>
      <c r="B35" s="44"/>
      <c r="C35" s="103">
        <v>2.4</v>
      </c>
      <c r="D35" s="103">
        <v>3</v>
      </c>
      <c r="E35" s="6">
        <f t="shared" si="0"/>
        <v>20.88</v>
      </c>
      <c r="F35" s="104">
        <v>2</v>
      </c>
      <c r="G35" s="105">
        <v>1.8</v>
      </c>
      <c r="H35" s="57">
        <f t="shared" si="1"/>
        <v>0.9</v>
      </c>
    </row>
    <row r="36" ht="15" customHeight="1">
      <c r="A36" s="27"/>
    </row>
    <row r="37" ht="15" customHeight="1">
      <c r="A37" s="27"/>
    </row>
    <row r="38" ht="19.5">
      <c r="A38" s="102" t="s">
        <v>178</v>
      </c>
    </row>
    <row r="39" ht="9" customHeight="1" thickBot="1">
      <c r="A39" s="27"/>
    </row>
    <row r="40" spans="1:9" ht="15">
      <c r="A40" s="194" t="s">
        <v>16</v>
      </c>
      <c r="B40" s="275" t="s">
        <v>114</v>
      </c>
      <c r="C40" s="276"/>
      <c r="D40" s="276"/>
      <c r="E40" s="244"/>
      <c r="F40" s="265" t="s">
        <v>45</v>
      </c>
      <c r="G40" s="266"/>
      <c r="H40" s="265" t="s">
        <v>5</v>
      </c>
      <c r="I40" s="266"/>
    </row>
    <row r="41" spans="1:9" ht="12.75">
      <c r="A41" s="195" t="s">
        <v>17</v>
      </c>
      <c r="B41" s="65" t="s">
        <v>52</v>
      </c>
      <c r="C41" s="38" t="s">
        <v>68</v>
      </c>
      <c r="D41" s="38" t="s">
        <v>69</v>
      </c>
      <c r="E41" s="40" t="s">
        <v>70</v>
      </c>
      <c r="F41" s="65" t="s">
        <v>52</v>
      </c>
      <c r="G41" s="40" t="s">
        <v>68</v>
      </c>
      <c r="H41" s="39" t="s">
        <v>52</v>
      </c>
      <c r="I41" s="40" t="s">
        <v>71</v>
      </c>
    </row>
    <row r="42" spans="1:9" ht="12.75">
      <c r="A42" s="196" t="s">
        <v>72</v>
      </c>
      <c r="B42" s="191">
        <v>60</v>
      </c>
      <c r="C42" s="66">
        <v>21.1</v>
      </c>
      <c r="D42" s="113">
        <v>0.35</v>
      </c>
      <c r="E42" s="115">
        <v>5</v>
      </c>
      <c r="F42" s="114">
        <v>70</v>
      </c>
      <c r="G42" s="116">
        <v>21.1</v>
      </c>
      <c r="H42" s="12">
        <f>+F42+B42</f>
        <v>130</v>
      </c>
      <c r="I42" s="14">
        <f>ROUND(+G42*F42+C42*B42,0)</f>
        <v>2743</v>
      </c>
    </row>
    <row r="43" spans="1:9" ht="12.75">
      <c r="A43" s="197" t="s">
        <v>73</v>
      </c>
      <c r="B43" s="191"/>
      <c r="C43" s="66"/>
      <c r="D43" s="113"/>
      <c r="E43" s="115"/>
      <c r="F43" s="114"/>
      <c r="G43" s="116"/>
      <c r="H43" s="12">
        <f>+B43+F43</f>
        <v>0</v>
      </c>
      <c r="I43" s="14">
        <f>ROUND(+G43*F43+C43*B43,0)</f>
        <v>0</v>
      </c>
    </row>
    <row r="44" spans="1:9" ht="13.5" thickBot="1">
      <c r="A44" s="198"/>
      <c r="B44" s="192"/>
      <c r="C44" s="117"/>
      <c r="D44" s="118"/>
      <c r="E44" s="119"/>
      <c r="F44" s="110"/>
      <c r="G44" s="120"/>
      <c r="H44" s="12">
        <f>+B44+F44</f>
        <v>0</v>
      </c>
      <c r="I44" s="14">
        <f>ROUND(+G44*F44+C44*B44,0)</f>
        <v>0</v>
      </c>
    </row>
    <row r="45" spans="1:9" ht="15.75" thickBot="1">
      <c r="A45" s="199" t="s">
        <v>3</v>
      </c>
      <c r="B45" s="193">
        <f>SUM(B42:B44)</f>
        <v>60</v>
      </c>
      <c r="C45" s="92">
        <f>IF(B45=0,0,SUMPRODUCT(B42:B44,C42:C44)/B45)</f>
        <v>21.1</v>
      </c>
      <c r="D45" s="93"/>
      <c r="E45" s="94">
        <f>IF(B45=0,0,SUMPRODUCT(B42:B44,C42:C44,E42:E44)/B45/C45)</f>
        <v>5</v>
      </c>
      <c r="F45" s="90">
        <f>SUM(F42:F44)</f>
        <v>70</v>
      </c>
      <c r="G45" s="95">
        <f>IF(F45=0,0,SUMPRODUCT(F42:F44,G42:G44)/F45)</f>
        <v>21.1</v>
      </c>
      <c r="H45" s="91">
        <f>SUM(H42:H43)</f>
        <v>130</v>
      </c>
      <c r="I45" s="95">
        <f>SUM(I42:I43)</f>
        <v>2743</v>
      </c>
    </row>
    <row r="46" ht="13.5" thickBot="1"/>
    <row r="47" spans="1:9" ht="15">
      <c r="A47" s="194" t="s">
        <v>18</v>
      </c>
      <c r="B47" s="275" t="s">
        <v>114</v>
      </c>
      <c r="C47" s="276"/>
      <c r="D47" s="276"/>
      <c r="E47" s="244"/>
      <c r="F47" s="265" t="s">
        <v>45</v>
      </c>
      <c r="G47" s="266"/>
      <c r="H47" s="265" t="s">
        <v>5</v>
      </c>
      <c r="I47" s="266"/>
    </row>
    <row r="48" spans="1:9" ht="12.75">
      <c r="A48" s="195" t="s">
        <v>17</v>
      </c>
      <c r="B48" s="65" t="s">
        <v>52</v>
      </c>
      <c r="C48" s="38" t="s">
        <v>68</v>
      </c>
      <c r="D48" s="38" t="s">
        <v>69</v>
      </c>
      <c r="E48" s="40" t="s">
        <v>70</v>
      </c>
      <c r="F48" s="65" t="s">
        <v>52</v>
      </c>
      <c r="G48" s="40" t="s">
        <v>68</v>
      </c>
      <c r="H48" s="39" t="s">
        <v>52</v>
      </c>
      <c r="I48" s="40" t="s">
        <v>71</v>
      </c>
    </row>
    <row r="49" spans="1:9" ht="12.75">
      <c r="A49" s="197" t="s">
        <v>74</v>
      </c>
      <c r="B49" s="191"/>
      <c r="C49" s="66"/>
      <c r="D49" s="113"/>
      <c r="E49" s="115"/>
      <c r="F49" s="114">
        <v>70</v>
      </c>
      <c r="G49" s="116">
        <v>21.1</v>
      </c>
      <c r="H49" s="12">
        <f>+B49+F49</f>
        <v>70</v>
      </c>
      <c r="I49" s="14">
        <f aca="true" t="shared" si="2" ref="I49:I57">ROUND(+G49*F49+C49*B49,0)</f>
        <v>1477</v>
      </c>
    </row>
    <row r="50" spans="1:9" ht="12.75">
      <c r="A50" s="197" t="s">
        <v>66</v>
      </c>
      <c r="B50" s="191"/>
      <c r="C50" s="66"/>
      <c r="D50" s="113"/>
      <c r="E50" s="115"/>
      <c r="F50" s="114">
        <f>6*10</f>
        <v>60</v>
      </c>
      <c r="G50" s="116">
        <v>23.5</v>
      </c>
      <c r="H50" s="12">
        <f>+F50+B50</f>
        <v>60</v>
      </c>
      <c r="I50" s="14">
        <f t="shared" si="2"/>
        <v>1410</v>
      </c>
    </row>
    <row r="51" spans="1:9" ht="12.75">
      <c r="A51" s="197" t="s">
        <v>19</v>
      </c>
      <c r="B51" s="191">
        <v>61</v>
      </c>
      <c r="C51" s="66">
        <v>10.6</v>
      </c>
      <c r="D51" s="113">
        <v>0.3</v>
      </c>
      <c r="E51" s="115">
        <v>16</v>
      </c>
      <c r="F51" s="114"/>
      <c r="G51" s="116"/>
      <c r="H51" s="12">
        <f>+F51+B51</f>
        <v>61</v>
      </c>
      <c r="I51" s="14">
        <f t="shared" si="2"/>
        <v>647</v>
      </c>
    </row>
    <row r="52" spans="1:9" ht="12.75">
      <c r="A52" s="197" t="s">
        <v>169</v>
      </c>
      <c r="B52" s="191"/>
      <c r="C52" s="66"/>
      <c r="D52" s="113"/>
      <c r="E52" s="115"/>
      <c r="F52" s="114"/>
      <c r="G52" s="116"/>
      <c r="H52" s="12">
        <f>+F52+B52</f>
        <v>0</v>
      </c>
      <c r="I52" s="14">
        <f t="shared" si="2"/>
        <v>0</v>
      </c>
    </row>
    <row r="53" spans="1:9" ht="12.75">
      <c r="A53" s="197" t="s">
        <v>14</v>
      </c>
      <c r="B53" s="191"/>
      <c r="C53" s="66"/>
      <c r="D53" s="113"/>
      <c r="E53" s="115"/>
      <c r="F53" s="114"/>
      <c r="G53" s="116"/>
      <c r="H53" s="12">
        <f>+B53+F53</f>
        <v>0</v>
      </c>
      <c r="I53" s="14">
        <f t="shared" si="2"/>
        <v>0</v>
      </c>
    </row>
    <row r="54" spans="1:9" ht="12.75">
      <c r="A54" s="197" t="s">
        <v>15</v>
      </c>
      <c r="B54" s="191"/>
      <c r="C54" s="66"/>
      <c r="D54" s="113"/>
      <c r="E54" s="115"/>
      <c r="F54" s="114"/>
      <c r="G54" s="116"/>
      <c r="H54" s="12"/>
      <c r="I54" s="14"/>
    </row>
    <row r="55" spans="1:9" ht="12.75">
      <c r="A55" s="197" t="s">
        <v>20</v>
      </c>
      <c r="B55" s="191"/>
      <c r="C55" s="66"/>
      <c r="D55" s="113"/>
      <c r="E55" s="115"/>
      <c r="F55" s="114"/>
      <c r="G55" s="116"/>
      <c r="H55" s="12"/>
      <c r="I55" s="14"/>
    </row>
    <row r="56" spans="1:9" ht="13.5" customHeight="1">
      <c r="A56" s="197" t="s">
        <v>73</v>
      </c>
      <c r="B56" s="191"/>
      <c r="C56" s="66"/>
      <c r="D56" s="113"/>
      <c r="E56" s="115"/>
      <c r="F56" s="114"/>
      <c r="G56" s="116"/>
      <c r="H56" s="12">
        <f>+B56+F56</f>
        <v>0</v>
      </c>
      <c r="I56" s="14">
        <f t="shared" si="2"/>
        <v>0</v>
      </c>
    </row>
    <row r="57" spans="1:9" ht="13.5" thickBot="1">
      <c r="A57" s="198"/>
      <c r="B57" s="200"/>
      <c r="C57" s="122"/>
      <c r="D57" s="123"/>
      <c r="E57" s="124"/>
      <c r="F57" s="121"/>
      <c r="G57" s="125"/>
      <c r="H57" s="12">
        <f>+B57+F57</f>
        <v>0</v>
      </c>
      <c r="I57" s="14">
        <f t="shared" si="2"/>
        <v>0</v>
      </c>
    </row>
    <row r="58" spans="1:9" ht="15.75" thickBot="1">
      <c r="A58" s="199" t="s">
        <v>3</v>
      </c>
      <c r="B58" s="193">
        <f>SUM(B49:B57)</f>
        <v>61</v>
      </c>
      <c r="C58" s="97">
        <f>IF(B58=0,0,SUMPRODUCT(B49:B57,C49:C57)/B58)</f>
        <v>10.6</v>
      </c>
      <c r="D58" s="96"/>
      <c r="E58" s="94">
        <f>IF(B58=0,0,SUMPRODUCT(B49:B57,C49:C57,E49:E57)/B58/C58)</f>
        <v>16</v>
      </c>
      <c r="F58" s="91">
        <f>SUM(F49:F57)</f>
        <v>130</v>
      </c>
      <c r="G58" s="97">
        <f>IF(F58=0,0,SUMPRODUCT(F49:F57,G49:G57)/F58)</f>
        <v>22.20769230769231</v>
      </c>
      <c r="H58" s="91">
        <f>SUM(H49:H57)</f>
        <v>191</v>
      </c>
      <c r="I58" s="95">
        <f>SUM(I49:I57)</f>
        <v>3534</v>
      </c>
    </row>
    <row r="59" spans="2:9" ht="12.75">
      <c r="B59" s="5"/>
      <c r="C59" s="5"/>
      <c r="E59" s="5"/>
      <c r="F59" s="5"/>
      <c r="H59" s="5"/>
      <c r="I59" s="5"/>
    </row>
    <row r="60" spans="2:9" ht="12.75">
      <c r="B60" s="5"/>
      <c r="C60" s="5"/>
      <c r="E60" s="5"/>
      <c r="F60" s="5"/>
      <c r="H60" s="5"/>
      <c r="I60" s="5"/>
    </row>
    <row r="61" ht="19.5">
      <c r="A61" s="102" t="s">
        <v>75</v>
      </c>
    </row>
    <row r="63" spans="1:5" ht="12.75">
      <c r="A63" s="43" t="s">
        <v>76</v>
      </c>
      <c r="D63" s="111">
        <v>2</v>
      </c>
      <c r="E63" t="s">
        <v>21</v>
      </c>
    </row>
    <row r="64" spans="1:5" ht="12.75">
      <c r="A64" s="43" t="s">
        <v>77</v>
      </c>
      <c r="D64" s="111">
        <f>ROUND(250/12,1)</f>
        <v>20.8</v>
      </c>
      <c r="E64" t="s">
        <v>22</v>
      </c>
    </row>
    <row r="65" spans="1:4" ht="12.75">
      <c r="A65" s="43" t="s">
        <v>86</v>
      </c>
      <c r="D65" s="126">
        <v>0.12</v>
      </c>
    </row>
    <row r="66" ht="12.75">
      <c r="A66" s="43"/>
    </row>
    <row r="67" ht="24.75">
      <c r="A67" s="101" t="s">
        <v>167</v>
      </c>
    </row>
    <row r="68" ht="19.5">
      <c r="A68" s="102" t="s">
        <v>79</v>
      </c>
    </row>
    <row r="70" spans="3:11" ht="12.75">
      <c r="C70" s="8"/>
      <c r="D70" s="8"/>
      <c r="E70" s="2"/>
      <c r="F70" s="2"/>
      <c r="G70" s="221" t="s">
        <v>81</v>
      </c>
      <c r="H70" s="8"/>
      <c r="I70" s="8"/>
      <c r="J70" s="2"/>
      <c r="K70" s="2"/>
    </row>
    <row r="71" spans="1:16" ht="15.75">
      <c r="A71" s="269" t="s">
        <v>23</v>
      </c>
      <c r="B71" s="249"/>
      <c r="C71" s="38" t="s">
        <v>52</v>
      </c>
      <c r="D71" s="38" t="s">
        <v>25</v>
      </c>
      <c r="E71" s="38" t="s">
        <v>80</v>
      </c>
      <c r="F71" s="3" t="s">
        <v>128</v>
      </c>
      <c r="G71" s="222" t="s">
        <v>82</v>
      </c>
      <c r="H71" s="190" t="s">
        <v>5</v>
      </c>
      <c r="I71" s="38" t="s">
        <v>26</v>
      </c>
      <c r="N71" s="172">
        <v>1</v>
      </c>
      <c r="O71" s="172">
        <v>2</v>
      </c>
      <c r="P71" s="172">
        <v>3</v>
      </c>
    </row>
    <row r="72" spans="1:16" ht="15">
      <c r="A72" s="3" t="s">
        <v>72</v>
      </c>
      <c r="B72" s="45"/>
      <c r="C72" s="4">
        <f>H42</f>
        <v>130</v>
      </c>
      <c r="D72" s="66">
        <v>2</v>
      </c>
      <c r="E72" s="66">
        <v>2.3</v>
      </c>
      <c r="F72" s="61">
        <f>IF(D72&gt;0,ROUNDUP(+C72/E72/D72,0),0)</f>
        <v>29</v>
      </c>
      <c r="G72" s="66">
        <v>2</v>
      </c>
      <c r="H72" s="61">
        <f>+G72+F72</f>
        <v>31</v>
      </c>
      <c r="I72" s="66">
        <v>2</v>
      </c>
      <c r="K72" s="170">
        <f>+I72</f>
        <v>2</v>
      </c>
      <c r="L72" s="170">
        <f>+G72+F72</f>
        <v>31</v>
      </c>
      <c r="N72">
        <f aca="true" t="shared" si="3" ref="N72:P74">IF($K72=N$81,$L72,0)</f>
        <v>0</v>
      </c>
      <c r="O72">
        <f t="shared" si="3"/>
        <v>31</v>
      </c>
      <c r="P72">
        <f t="shared" si="3"/>
        <v>0</v>
      </c>
    </row>
    <row r="73" spans="1:16" ht="15">
      <c r="A73" s="3" t="s">
        <v>73</v>
      </c>
      <c r="B73" s="45"/>
      <c r="C73" s="4">
        <f>H43</f>
        <v>0</v>
      </c>
      <c r="D73" s="66"/>
      <c r="E73" s="66"/>
      <c r="F73" s="61">
        <f>IF(D73&gt;0,ROUNDUP(+C73/E73/D73,0),0)</f>
        <v>0</v>
      </c>
      <c r="G73" s="66"/>
      <c r="H73" s="61">
        <f>+G73+F73</f>
        <v>0</v>
      </c>
      <c r="I73" s="66">
        <v>1</v>
      </c>
      <c r="K73" s="170">
        <f>+I73</f>
        <v>1</v>
      </c>
      <c r="L73" s="170">
        <f>+G73+F73</f>
        <v>0</v>
      </c>
      <c r="N73">
        <f t="shared" si="3"/>
        <v>0</v>
      </c>
      <c r="O73">
        <f t="shared" si="3"/>
        <v>0</v>
      </c>
      <c r="P73">
        <f t="shared" si="3"/>
        <v>0</v>
      </c>
    </row>
    <row r="74" spans="1:16" ht="15">
      <c r="A74" s="106">
        <f>IF(+A44=0,"",A44)</f>
      </c>
      <c r="B74" s="107"/>
      <c r="C74" s="4">
        <f>H44</f>
        <v>0</v>
      </c>
      <c r="D74" s="66"/>
      <c r="E74" s="66"/>
      <c r="F74" s="61">
        <f>IF(D74&gt;0,ROUNDUP(+C74/E74/D74,0),0)</f>
        <v>0</v>
      </c>
      <c r="G74" s="66"/>
      <c r="H74" s="61">
        <f>+G74+F74</f>
        <v>0</v>
      </c>
      <c r="I74" s="66"/>
      <c r="K74" s="170">
        <f>+I74</f>
        <v>0</v>
      </c>
      <c r="L74" s="170">
        <f>+G74+F74</f>
        <v>0</v>
      </c>
      <c r="N74" s="172">
        <f t="shared" si="3"/>
        <v>0</v>
      </c>
      <c r="O74" s="172">
        <f t="shared" si="3"/>
        <v>0</v>
      </c>
      <c r="P74" s="172">
        <f t="shared" si="3"/>
        <v>0</v>
      </c>
    </row>
    <row r="75" spans="8:16" ht="12.75">
      <c r="H75" s="5" t="s">
        <v>22</v>
      </c>
      <c r="K75" s="170"/>
      <c r="L75" s="170"/>
      <c r="N75">
        <f>MAX(N72:N74)</f>
        <v>0</v>
      </c>
      <c r="O75">
        <f>MAX(O72:O74)</f>
        <v>31</v>
      </c>
      <c r="P75">
        <f>MAX(P72:P74)</f>
        <v>0</v>
      </c>
    </row>
    <row r="76" spans="8:12" ht="12.75">
      <c r="H76" s="62">
        <f>SUM(N75:R75)</f>
        <v>31</v>
      </c>
      <c r="K76" s="170"/>
      <c r="L76" s="170"/>
    </row>
    <row r="77" spans="8:12" ht="12.75">
      <c r="H77" s="220"/>
      <c r="K77" s="170"/>
      <c r="L77" s="170"/>
    </row>
    <row r="78" spans="8:12" ht="12.75">
      <c r="H78" s="220"/>
      <c r="K78" s="170"/>
      <c r="L78" s="170"/>
    </row>
    <row r="79" spans="11:12" ht="12.75">
      <c r="K79" s="170"/>
      <c r="L79" s="170"/>
    </row>
    <row r="80" ht="12.75">
      <c r="G80" s="221" t="s">
        <v>81</v>
      </c>
    </row>
    <row r="81" spans="1:20" ht="15.75">
      <c r="A81" s="269" t="s">
        <v>83</v>
      </c>
      <c r="B81" s="270"/>
      <c r="C81" s="38" t="s">
        <v>52</v>
      </c>
      <c r="D81" s="38" t="s">
        <v>25</v>
      </c>
      <c r="E81" s="38" t="s">
        <v>80</v>
      </c>
      <c r="F81" s="3" t="s">
        <v>128</v>
      </c>
      <c r="G81" s="222" t="s">
        <v>82</v>
      </c>
      <c r="H81" s="190" t="s">
        <v>5</v>
      </c>
      <c r="I81" s="38" t="s">
        <v>26</v>
      </c>
      <c r="N81" s="172">
        <v>1</v>
      </c>
      <c r="O81" s="172">
        <v>2</v>
      </c>
      <c r="P81" s="172">
        <v>3</v>
      </c>
      <c r="Q81" s="172">
        <v>4</v>
      </c>
      <c r="R81" s="172">
        <v>5</v>
      </c>
      <c r="S81" s="172">
        <v>6</v>
      </c>
      <c r="T81" s="172">
        <v>7</v>
      </c>
    </row>
    <row r="82" spans="1:20" ht="15">
      <c r="A82" s="3" t="s">
        <v>74</v>
      </c>
      <c r="B82" s="45"/>
      <c r="C82" s="4">
        <f>+H49</f>
        <v>70</v>
      </c>
      <c r="D82" s="66">
        <v>2</v>
      </c>
      <c r="E82" s="66">
        <v>2.3</v>
      </c>
      <c r="F82" s="61">
        <f aca="true" t="shared" si="4" ref="F82:F90">IF(D82&gt;0,ROUNDUP(+C82/E82/D82,0),0)</f>
        <v>16</v>
      </c>
      <c r="G82" s="66">
        <v>2</v>
      </c>
      <c r="H82" s="61">
        <f>+G82+F82</f>
        <v>18</v>
      </c>
      <c r="I82" s="66">
        <v>1</v>
      </c>
      <c r="K82" s="170">
        <f aca="true" t="shared" si="5" ref="K82:K90">+I82</f>
        <v>1</v>
      </c>
      <c r="L82" s="170">
        <f aca="true" t="shared" si="6" ref="L82:L90">+G82+F82</f>
        <v>18</v>
      </c>
      <c r="N82">
        <f aca="true" t="shared" si="7" ref="N82:N90">IF($K82=N$81,$L82,0)</f>
        <v>18</v>
      </c>
      <c r="O82">
        <f aca="true" t="shared" si="8" ref="O82:T90">IF($K82=O$81,$L82,0)</f>
        <v>0</v>
      </c>
      <c r="P82">
        <f t="shared" si="8"/>
        <v>0</v>
      </c>
      <c r="Q82">
        <f t="shared" si="8"/>
        <v>0</v>
      </c>
      <c r="R82">
        <f t="shared" si="8"/>
        <v>0</v>
      </c>
      <c r="S82">
        <f t="shared" si="8"/>
        <v>0</v>
      </c>
      <c r="T82">
        <f t="shared" si="8"/>
        <v>0</v>
      </c>
    </row>
    <row r="83" spans="1:20" ht="15">
      <c r="A83" s="3" t="s">
        <v>66</v>
      </c>
      <c r="B83" s="45"/>
      <c r="C83" s="4">
        <f aca="true" t="shared" si="9" ref="C83:C90">H50</f>
        <v>60</v>
      </c>
      <c r="D83" s="66">
        <v>2</v>
      </c>
      <c r="E83" s="66">
        <v>1.8</v>
      </c>
      <c r="F83" s="61">
        <f t="shared" si="4"/>
        <v>17</v>
      </c>
      <c r="G83" s="66">
        <v>1</v>
      </c>
      <c r="H83" s="61">
        <f aca="true" t="shared" si="10" ref="H83:H90">+G83+F83</f>
        <v>18</v>
      </c>
      <c r="I83" s="66">
        <v>2</v>
      </c>
      <c r="K83" s="170">
        <f t="shared" si="5"/>
        <v>2</v>
      </c>
      <c r="L83" s="170">
        <f t="shared" si="6"/>
        <v>18</v>
      </c>
      <c r="N83">
        <f t="shared" si="7"/>
        <v>0</v>
      </c>
      <c r="O83">
        <f t="shared" si="8"/>
        <v>18</v>
      </c>
      <c r="P83">
        <f t="shared" si="8"/>
        <v>0</v>
      </c>
      <c r="Q83">
        <f t="shared" si="8"/>
        <v>0</v>
      </c>
      <c r="R83">
        <f t="shared" si="8"/>
        <v>0</v>
      </c>
      <c r="S83">
        <f t="shared" si="8"/>
        <v>0</v>
      </c>
      <c r="T83">
        <f t="shared" si="8"/>
        <v>0</v>
      </c>
    </row>
    <row r="84" spans="1:20" ht="15">
      <c r="A84" s="3" t="s">
        <v>19</v>
      </c>
      <c r="B84" s="45"/>
      <c r="C84" s="4">
        <f t="shared" si="9"/>
        <v>61</v>
      </c>
      <c r="D84" s="66">
        <v>2</v>
      </c>
      <c r="E84" s="66">
        <v>0.9</v>
      </c>
      <c r="F84" s="61">
        <f t="shared" si="4"/>
        <v>34</v>
      </c>
      <c r="G84" s="66">
        <v>2</v>
      </c>
      <c r="H84" s="61">
        <f t="shared" si="10"/>
        <v>36</v>
      </c>
      <c r="I84" s="66">
        <v>2</v>
      </c>
      <c r="K84" s="170">
        <f t="shared" si="5"/>
        <v>2</v>
      </c>
      <c r="L84" s="170">
        <f t="shared" si="6"/>
        <v>36</v>
      </c>
      <c r="N84">
        <f t="shared" si="7"/>
        <v>0</v>
      </c>
      <c r="O84">
        <f t="shared" si="8"/>
        <v>36</v>
      </c>
      <c r="P84">
        <f t="shared" si="8"/>
        <v>0</v>
      </c>
      <c r="Q84">
        <f t="shared" si="8"/>
        <v>0</v>
      </c>
      <c r="R84">
        <f t="shared" si="8"/>
        <v>0</v>
      </c>
      <c r="S84">
        <f t="shared" si="8"/>
        <v>0</v>
      </c>
      <c r="T84">
        <f t="shared" si="8"/>
        <v>0</v>
      </c>
    </row>
    <row r="85" spans="1:20" ht="15">
      <c r="A85" s="3" t="s">
        <v>169</v>
      </c>
      <c r="B85" s="45"/>
      <c r="C85" s="4">
        <f t="shared" si="9"/>
        <v>0</v>
      </c>
      <c r="D85" s="66"/>
      <c r="E85" s="66"/>
      <c r="F85" s="61">
        <f t="shared" si="4"/>
        <v>0</v>
      </c>
      <c r="G85" s="66"/>
      <c r="H85" s="61">
        <f t="shared" si="10"/>
        <v>0</v>
      </c>
      <c r="I85" s="66"/>
      <c r="K85" s="170">
        <f t="shared" si="5"/>
        <v>0</v>
      </c>
      <c r="L85" s="170">
        <f t="shared" si="6"/>
        <v>0</v>
      </c>
      <c r="N85">
        <f t="shared" si="7"/>
        <v>0</v>
      </c>
      <c r="O85">
        <f t="shared" si="8"/>
        <v>0</v>
      </c>
      <c r="P85">
        <f t="shared" si="8"/>
        <v>0</v>
      </c>
      <c r="Q85">
        <f t="shared" si="8"/>
        <v>0</v>
      </c>
      <c r="R85">
        <f t="shared" si="8"/>
        <v>0</v>
      </c>
      <c r="S85">
        <f t="shared" si="8"/>
        <v>0</v>
      </c>
      <c r="T85">
        <f t="shared" si="8"/>
        <v>0</v>
      </c>
    </row>
    <row r="86" spans="1:20" ht="15">
      <c r="A86" s="3" t="s">
        <v>14</v>
      </c>
      <c r="B86" s="45"/>
      <c r="C86" s="4">
        <f t="shared" si="9"/>
        <v>0</v>
      </c>
      <c r="D86" s="66"/>
      <c r="E86" s="66"/>
      <c r="F86" s="61">
        <f t="shared" si="4"/>
        <v>0</v>
      </c>
      <c r="G86" s="66"/>
      <c r="H86" s="61">
        <f t="shared" si="10"/>
        <v>0</v>
      </c>
      <c r="I86" s="66"/>
      <c r="K86" s="170">
        <f t="shared" si="5"/>
        <v>0</v>
      </c>
      <c r="L86" s="170">
        <f t="shared" si="6"/>
        <v>0</v>
      </c>
      <c r="N86">
        <f t="shared" si="7"/>
        <v>0</v>
      </c>
      <c r="O86">
        <f t="shared" si="8"/>
        <v>0</v>
      </c>
      <c r="P86">
        <f t="shared" si="8"/>
        <v>0</v>
      </c>
      <c r="Q86">
        <f t="shared" si="8"/>
        <v>0</v>
      </c>
      <c r="R86">
        <f t="shared" si="8"/>
        <v>0</v>
      </c>
      <c r="S86">
        <f t="shared" si="8"/>
        <v>0</v>
      </c>
      <c r="T86">
        <f t="shared" si="8"/>
        <v>0</v>
      </c>
    </row>
    <row r="87" spans="1:20" ht="15">
      <c r="A87" s="3" t="s">
        <v>15</v>
      </c>
      <c r="B87" s="45"/>
      <c r="C87" s="4">
        <f t="shared" si="9"/>
        <v>0</v>
      </c>
      <c r="D87" s="66"/>
      <c r="E87" s="66"/>
      <c r="F87" s="61">
        <f t="shared" si="4"/>
        <v>0</v>
      </c>
      <c r="G87" s="66"/>
      <c r="H87" s="61">
        <f t="shared" si="10"/>
        <v>0</v>
      </c>
      <c r="I87" s="66"/>
      <c r="K87" s="170">
        <f>+I87</f>
        <v>0</v>
      </c>
      <c r="L87" s="170">
        <f>+G87+F87</f>
        <v>0</v>
      </c>
      <c r="N87">
        <f t="shared" si="7"/>
        <v>0</v>
      </c>
      <c r="O87">
        <f t="shared" si="8"/>
        <v>0</v>
      </c>
      <c r="P87">
        <f t="shared" si="8"/>
        <v>0</v>
      </c>
      <c r="Q87">
        <f t="shared" si="8"/>
        <v>0</v>
      </c>
      <c r="R87">
        <f t="shared" si="8"/>
        <v>0</v>
      </c>
      <c r="S87">
        <f t="shared" si="8"/>
        <v>0</v>
      </c>
      <c r="T87">
        <f t="shared" si="8"/>
        <v>0</v>
      </c>
    </row>
    <row r="88" spans="1:20" ht="15">
      <c r="A88" s="3" t="s">
        <v>20</v>
      </c>
      <c r="B88" s="45"/>
      <c r="C88" s="4">
        <f t="shared" si="9"/>
        <v>0</v>
      </c>
      <c r="D88" s="66"/>
      <c r="E88" s="66"/>
      <c r="F88" s="61">
        <f t="shared" si="4"/>
        <v>0</v>
      </c>
      <c r="G88" s="66"/>
      <c r="H88" s="61">
        <f t="shared" si="10"/>
        <v>0</v>
      </c>
      <c r="I88" s="66"/>
      <c r="K88" s="170">
        <f>+I88</f>
        <v>0</v>
      </c>
      <c r="L88" s="170">
        <f>+G88+F88</f>
        <v>0</v>
      </c>
      <c r="N88">
        <f t="shared" si="7"/>
        <v>0</v>
      </c>
      <c r="O88">
        <f t="shared" si="8"/>
        <v>0</v>
      </c>
      <c r="P88">
        <f t="shared" si="8"/>
        <v>0</v>
      </c>
      <c r="Q88">
        <f t="shared" si="8"/>
        <v>0</v>
      </c>
      <c r="R88">
        <f t="shared" si="8"/>
        <v>0</v>
      </c>
      <c r="S88">
        <f t="shared" si="8"/>
        <v>0</v>
      </c>
      <c r="T88">
        <f t="shared" si="8"/>
        <v>0</v>
      </c>
    </row>
    <row r="89" spans="1:20" ht="15">
      <c r="A89" s="3" t="s">
        <v>73</v>
      </c>
      <c r="B89" s="45"/>
      <c r="C89" s="4">
        <f t="shared" si="9"/>
        <v>0</v>
      </c>
      <c r="D89" s="66"/>
      <c r="E89" s="66"/>
      <c r="F89" s="61">
        <f t="shared" si="4"/>
        <v>0</v>
      </c>
      <c r="G89" s="66"/>
      <c r="H89" s="61">
        <f t="shared" si="10"/>
        <v>0</v>
      </c>
      <c r="I89" s="66"/>
      <c r="K89" s="170">
        <f t="shared" si="5"/>
        <v>0</v>
      </c>
      <c r="L89" s="170">
        <f t="shared" si="6"/>
        <v>0</v>
      </c>
      <c r="N89">
        <f t="shared" si="7"/>
        <v>0</v>
      </c>
      <c r="O89">
        <f t="shared" si="8"/>
        <v>0</v>
      </c>
      <c r="P89">
        <f t="shared" si="8"/>
        <v>0</v>
      </c>
      <c r="Q89">
        <f t="shared" si="8"/>
        <v>0</v>
      </c>
      <c r="R89">
        <f t="shared" si="8"/>
        <v>0</v>
      </c>
      <c r="S89">
        <f t="shared" si="8"/>
        <v>0</v>
      </c>
      <c r="T89">
        <f t="shared" si="8"/>
        <v>0</v>
      </c>
    </row>
    <row r="90" spans="1:20" ht="15">
      <c r="A90" s="106">
        <f>IF(+A57=0,"",A57)</f>
      </c>
      <c r="B90" s="107"/>
      <c r="C90" s="4">
        <f t="shared" si="9"/>
        <v>0</v>
      </c>
      <c r="D90" s="66"/>
      <c r="E90" s="66"/>
      <c r="F90" s="61">
        <f t="shared" si="4"/>
        <v>0</v>
      </c>
      <c r="G90" s="66"/>
      <c r="H90" s="61">
        <f t="shared" si="10"/>
        <v>0</v>
      </c>
      <c r="I90" s="66"/>
      <c r="K90" s="170">
        <f t="shared" si="5"/>
        <v>0</v>
      </c>
      <c r="L90" s="170">
        <f t="shared" si="6"/>
        <v>0</v>
      </c>
      <c r="N90" s="172">
        <f t="shared" si="7"/>
        <v>0</v>
      </c>
      <c r="O90" s="172">
        <f t="shared" si="8"/>
        <v>0</v>
      </c>
      <c r="P90" s="172">
        <f t="shared" si="8"/>
        <v>0</v>
      </c>
      <c r="Q90" s="172">
        <f t="shared" si="8"/>
        <v>0</v>
      </c>
      <c r="R90" s="172">
        <f t="shared" si="8"/>
        <v>0</v>
      </c>
      <c r="S90" s="172">
        <f t="shared" si="8"/>
        <v>0</v>
      </c>
      <c r="T90" s="172">
        <f t="shared" si="8"/>
        <v>0</v>
      </c>
    </row>
    <row r="91" spans="3:20" ht="12.75">
      <c r="C91" s="8"/>
      <c r="D91" s="8"/>
      <c r="E91" s="2"/>
      <c r="F91" s="2"/>
      <c r="H91" s="5" t="s">
        <v>22</v>
      </c>
      <c r="I91" s="8"/>
      <c r="J91" s="2"/>
      <c r="K91" s="2"/>
      <c r="N91">
        <f>MAX(N82:N90)</f>
        <v>18</v>
      </c>
      <c r="O91">
        <f aca="true" t="shared" si="11" ref="O91:T91">MAX(O82:O90)</f>
        <v>36</v>
      </c>
      <c r="P91">
        <f t="shared" si="11"/>
        <v>0</v>
      </c>
      <c r="Q91">
        <f t="shared" si="11"/>
        <v>0</v>
      </c>
      <c r="R91">
        <f t="shared" si="11"/>
        <v>0</v>
      </c>
      <c r="S91">
        <f t="shared" si="11"/>
        <v>0</v>
      </c>
      <c r="T91">
        <f t="shared" si="11"/>
        <v>0</v>
      </c>
    </row>
    <row r="92" spans="3:11" ht="12.75">
      <c r="C92" s="8"/>
      <c r="D92" s="8"/>
      <c r="E92" s="2"/>
      <c r="F92" s="2"/>
      <c r="H92" s="62">
        <f>SUM(N91:T91)</f>
        <v>54</v>
      </c>
      <c r="I92" s="8"/>
      <c r="J92" s="2"/>
      <c r="K92" s="2"/>
    </row>
    <row r="93" spans="3:11" ht="12.75">
      <c r="C93" s="8"/>
      <c r="D93" s="8"/>
      <c r="E93" s="2"/>
      <c r="F93" s="2"/>
      <c r="H93" s="8"/>
      <c r="I93" s="8"/>
      <c r="J93" s="2"/>
      <c r="K93" s="2"/>
    </row>
    <row r="94" ht="11.25" customHeight="1" thickBot="1"/>
    <row r="95" spans="4:9" ht="18.75" customHeight="1" thickBot="1">
      <c r="D95" s="201" t="s">
        <v>84</v>
      </c>
      <c r="E95" s="202" t="s">
        <v>85</v>
      </c>
      <c r="F95" s="203" t="s">
        <v>1</v>
      </c>
      <c r="H95" s="240" t="s">
        <v>87</v>
      </c>
      <c r="I95" s="241"/>
    </row>
    <row r="96" spans="1:9" ht="16.5" customHeight="1">
      <c r="A96" s="258" t="s">
        <v>83</v>
      </c>
      <c r="B96" s="259"/>
      <c r="C96" s="260"/>
      <c r="D96" s="167">
        <f>$H$92</f>
        <v>54</v>
      </c>
      <c r="E96" s="4">
        <f>+D96*D65</f>
        <v>6.4799999999999995</v>
      </c>
      <c r="F96" s="204">
        <f>+E96+D96</f>
        <v>60.48</v>
      </c>
      <c r="G96" s="208" t="s">
        <v>22</v>
      </c>
      <c r="H96" s="242" t="s">
        <v>27</v>
      </c>
      <c r="I96" s="243"/>
    </row>
    <row r="97" spans="1:9" ht="16.5" thickBot="1">
      <c r="A97" s="261" t="s">
        <v>23</v>
      </c>
      <c r="B97" s="262"/>
      <c r="C97" s="263"/>
      <c r="D97" s="207">
        <f>$H$76</f>
        <v>31</v>
      </c>
      <c r="E97" s="205">
        <f>+D65*D97</f>
        <v>3.7199999999999998</v>
      </c>
      <c r="F97" s="206">
        <f>+E97+D97</f>
        <v>34.72</v>
      </c>
      <c r="G97" s="208" t="s">
        <v>22</v>
      </c>
      <c r="H97" s="250">
        <f>ROUNDUP(MAX(F96:F97),0)</f>
        <v>61</v>
      </c>
      <c r="I97" s="239"/>
    </row>
    <row r="99" spans="2:9" ht="12.75">
      <c r="B99" s="5"/>
      <c r="C99" s="5"/>
      <c r="E99" s="5"/>
      <c r="F99" s="5"/>
      <c r="H99" s="5"/>
      <c r="I99" s="5"/>
    </row>
    <row r="100" spans="1:9" ht="24.75">
      <c r="A100" s="101" t="s">
        <v>184</v>
      </c>
      <c r="B100" s="5"/>
      <c r="C100" s="5"/>
      <c r="E100" s="5"/>
      <c r="F100" s="5"/>
      <c r="H100" s="5"/>
      <c r="I100" s="5"/>
    </row>
    <row r="102" ht="19.5">
      <c r="A102" s="59" t="s">
        <v>91</v>
      </c>
    </row>
    <row r="105" spans="1:5" ht="15">
      <c r="A105" s="99" t="s">
        <v>88</v>
      </c>
      <c r="D105" s="127">
        <v>30</v>
      </c>
      <c r="E105" t="s">
        <v>92</v>
      </c>
    </row>
    <row r="106" spans="1:5" ht="15">
      <c r="A106" s="99" t="s">
        <v>89</v>
      </c>
      <c r="D106" s="49">
        <v>2</v>
      </c>
      <c r="E106" t="s">
        <v>28</v>
      </c>
    </row>
    <row r="107" spans="1:5" ht="15">
      <c r="A107" s="99" t="s">
        <v>76</v>
      </c>
      <c r="D107" s="49">
        <v>2</v>
      </c>
      <c r="E107" t="s">
        <v>21</v>
      </c>
    </row>
    <row r="108" spans="1:5" ht="15">
      <c r="A108" s="99" t="s">
        <v>77</v>
      </c>
      <c r="D108" s="127">
        <f>250/12</f>
        <v>20.833333333333332</v>
      </c>
      <c r="E108" t="s">
        <v>22</v>
      </c>
    </row>
    <row r="109" spans="1:5" ht="15">
      <c r="A109" s="99" t="s">
        <v>90</v>
      </c>
      <c r="D109" s="49">
        <v>365</v>
      </c>
      <c r="E109" t="s">
        <v>22</v>
      </c>
    </row>
    <row r="112" ht="19.5">
      <c r="A112" s="59" t="s">
        <v>29</v>
      </c>
    </row>
    <row r="114" spans="1:9" ht="12.75">
      <c r="A114" s="1" t="s">
        <v>93</v>
      </c>
      <c r="D114" s="41">
        <f>+D105*D106*D107</f>
        <v>120</v>
      </c>
      <c r="E114" t="s">
        <v>0</v>
      </c>
      <c r="F114" s="271" t="s">
        <v>31</v>
      </c>
      <c r="G114" s="272"/>
      <c r="H114" s="272"/>
      <c r="I114" s="273"/>
    </row>
    <row r="115" spans="1:9" ht="12.75">
      <c r="A115" s="1" t="s">
        <v>190</v>
      </c>
      <c r="D115" s="41">
        <f>+D114*(I9-1)</f>
        <v>45.59999999999999</v>
      </c>
      <c r="E115" t="s">
        <v>0</v>
      </c>
      <c r="F115" s="134">
        <f>ROUND(+A14/D105/D106/D107,0)</f>
        <v>146</v>
      </c>
      <c r="G115" s="2" t="s">
        <v>22</v>
      </c>
      <c r="H115" s="50">
        <f>+F115/D108</f>
        <v>7.008</v>
      </c>
      <c r="I115" s="2" t="s">
        <v>32</v>
      </c>
    </row>
    <row r="117" spans="1:5" ht="12.75">
      <c r="A117" s="1" t="s">
        <v>94</v>
      </c>
      <c r="D117" s="41">
        <f>+C14-F115*D115</f>
        <v>12583.312697978232</v>
      </c>
      <c r="E117" t="s">
        <v>0</v>
      </c>
    </row>
    <row r="118" spans="1:5" ht="12.75">
      <c r="A118" s="223" t="s">
        <v>171</v>
      </c>
      <c r="C118" s="2"/>
      <c r="D118" s="128">
        <v>270</v>
      </c>
      <c r="E118" s="79" t="s">
        <v>0</v>
      </c>
    </row>
    <row r="119" spans="1:9" ht="12.75">
      <c r="A119" s="224" t="s">
        <v>97</v>
      </c>
      <c r="B119" s="130"/>
      <c r="C119" s="131"/>
      <c r="D119" s="132">
        <f>+D117-D118</f>
        <v>12313.312697978232</v>
      </c>
      <c r="E119" s="10" t="s">
        <v>0</v>
      </c>
      <c r="F119" s="271" t="s">
        <v>95</v>
      </c>
      <c r="G119" s="272"/>
      <c r="H119" s="272"/>
      <c r="I119" s="273"/>
    </row>
    <row r="120" spans="1:9" ht="12.75">
      <c r="A120" s="100" t="s">
        <v>196</v>
      </c>
      <c r="B120" s="10"/>
      <c r="C120" s="10"/>
      <c r="D120" s="133">
        <v>300</v>
      </c>
      <c r="E120" s="10" t="s">
        <v>30</v>
      </c>
      <c r="F120" s="134">
        <f>ROUND(D119/D120/D107,0)</f>
        <v>21</v>
      </c>
      <c r="G120" s="2" t="s">
        <v>22</v>
      </c>
      <c r="H120" s="50">
        <f>+F120/D108</f>
        <v>1.008</v>
      </c>
      <c r="I120" s="2" t="s">
        <v>32</v>
      </c>
    </row>
    <row r="122" ht="12.75">
      <c r="H122" s="37"/>
    </row>
    <row r="123" ht="19.5">
      <c r="A123" s="59" t="s">
        <v>198</v>
      </c>
    </row>
    <row r="125" ht="12.75">
      <c r="A125" s="1" t="s">
        <v>172</v>
      </c>
    </row>
    <row r="126" ht="12.75">
      <c r="A126" s="1" t="str">
        <f>CONCATENATE("Assuming that all stopes have the same configuration, the production time of ",F115," days divided by the final mucking time of ",F120," days will allow you to calculate")</f>
        <v>Assuming that all stopes have the same configuration, the production time of 146 days divided by the final mucking time of 21 days will allow you to calculate</v>
      </c>
    </row>
    <row r="127" spans="1:7" ht="12.75">
      <c r="A127" s="1" t="s">
        <v>185</v>
      </c>
      <c r="F127" s="60">
        <f>ROUND(+H115/H120,2)</f>
        <v>6.95</v>
      </c>
      <c r="G127" t="s">
        <v>98</v>
      </c>
    </row>
    <row r="128" ht="12.75">
      <c r="A128" s="1" t="s">
        <v>165</v>
      </c>
    </row>
    <row r="129" ht="12.75">
      <c r="A129" s="1" t="str">
        <f>CONCATENATE("Which means that the production will be optimal if ",F127," stopes are active for each stope in the final mucking phase.")</f>
        <v>Which means that the production will be optimal if 6.95 stopes are active for each stope in the final mucking phase.</v>
      </c>
    </row>
    <row r="130" spans="1:9" ht="30" customHeight="1">
      <c r="A130" s="53"/>
      <c r="B130" s="53"/>
      <c r="C130" s="53"/>
      <c r="D130" s="53"/>
      <c r="F130" s="53"/>
      <c r="G130" s="53"/>
      <c r="H130" s="225"/>
      <c r="I130" s="226"/>
    </row>
    <row r="131" spans="1:9" ht="30" customHeight="1">
      <c r="A131" s="53"/>
      <c r="B131" s="53"/>
      <c r="C131" s="53"/>
      <c r="D131" s="53"/>
      <c r="E131" s="218" t="s">
        <v>96</v>
      </c>
      <c r="F131" s="53"/>
      <c r="G131" s="53"/>
      <c r="H131" s="277" t="s">
        <v>99</v>
      </c>
      <c r="I131" s="278"/>
    </row>
    <row r="132" spans="1:9" ht="15">
      <c r="A132" s="53" t="s">
        <v>186</v>
      </c>
      <c r="B132" s="53"/>
      <c r="C132" s="53"/>
      <c r="D132" s="153">
        <v>12</v>
      </c>
      <c r="E132" s="54">
        <f>ROUND(+D132*D115,0)</f>
        <v>547</v>
      </c>
      <c r="F132" s="53"/>
      <c r="G132" s="53"/>
      <c r="H132" s="286">
        <f>ROUND(E132*$D$108*12/D109,0)</f>
        <v>375</v>
      </c>
      <c r="I132" s="286"/>
    </row>
    <row r="133" spans="1:9" ht="15.75" thickBot="1">
      <c r="A133" s="53" t="s">
        <v>197</v>
      </c>
      <c r="B133" s="53"/>
      <c r="C133" s="53"/>
      <c r="D133" s="55">
        <f>+D132/F127</f>
        <v>1.7266187050359711</v>
      </c>
      <c r="E133" s="154">
        <f>ROUND(+D120*D107*D133,0)</f>
        <v>1036</v>
      </c>
      <c r="F133" s="53"/>
      <c r="G133" s="53"/>
      <c r="H133" s="287">
        <f>ROUND(E133*$D$108*12/D109,0)</f>
        <v>710</v>
      </c>
      <c r="I133" s="287"/>
    </row>
    <row r="134" spans="1:9" ht="16.5" thickBot="1">
      <c r="A134" s="53"/>
      <c r="B134" s="53"/>
      <c r="C134" s="53"/>
      <c r="D134" s="53"/>
      <c r="E134" s="155">
        <f>SUM(E132:E133)</f>
        <v>1583</v>
      </c>
      <c r="F134" s="53"/>
      <c r="G134" s="53"/>
      <c r="H134" s="267">
        <f>SUM(H132:H133)</f>
        <v>1085</v>
      </c>
      <c r="I134" s="268"/>
    </row>
    <row r="135" spans="2:9" ht="15.75">
      <c r="B135" s="53"/>
      <c r="C135" s="53"/>
      <c r="D135" s="53"/>
      <c r="E135" s="53"/>
      <c r="F135" s="53"/>
      <c r="G135" s="53"/>
      <c r="H135" s="53"/>
      <c r="I135" s="156"/>
    </row>
    <row r="136" ht="12.75">
      <c r="A136" s="42" t="s">
        <v>191</v>
      </c>
    </row>
    <row r="138" ht="19.5">
      <c r="A138" s="59" t="s">
        <v>100</v>
      </c>
    </row>
    <row r="140" ht="12.75">
      <c r="A140" s="1" t="s">
        <v>176</v>
      </c>
    </row>
    <row r="141" ht="12.75">
      <c r="A141" s="1" t="str">
        <f>CONCATENATE("Assuming that all stopes have the same configuration, the production time of ",F115," days divided by the development time of ",H97," days will allow you to calculate")</f>
        <v>Assuming that all stopes have the same configuration, the production time of 146 days divided by the development time of 61 days will allow you to calculate</v>
      </c>
    </row>
    <row r="142" spans="1:9" ht="12.75">
      <c r="A142" s="1" t="s">
        <v>187</v>
      </c>
      <c r="F142" s="60">
        <f>ROUND((F115)/H97,2)</f>
        <v>2.39</v>
      </c>
      <c r="G142" t="s">
        <v>6</v>
      </c>
      <c r="I142" t="s">
        <v>6</v>
      </c>
    </row>
    <row r="143" ht="12.75">
      <c r="A143" s="1" t="str">
        <f>CONCATENATE("Which means that the production will be optimal if ",F142," stopes are active for each stope in the development phase.")</f>
        <v>Which means that the production will be optimal if 2.39 stopes are active for each stope in the development phase.</v>
      </c>
    </row>
    <row r="145" spans="1:9" ht="30" customHeight="1">
      <c r="A145" s="53"/>
      <c r="B145" s="53"/>
      <c r="C145" s="53"/>
      <c r="D145" s="53"/>
      <c r="F145" s="53"/>
      <c r="G145" s="53"/>
      <c r="H145" s="281" t="s">
        <v>102</v>
      </c>
      <c r="I145" s="282"/>
    </row>
    <row r="146" spans="1:9" ht="30" customHeight="1">
      <c r="A146" s="53" t="s">
        <v>186</v>
      </c>
      <c r="B146" s="53"/>
      <c r="C146" s="53"/>
      <c r="D146" s="54">
        <f>+D132</f>
        <v>12</v>
      </c>
      <c r="E146" s="227" t="s">
        <v>101</v>
      </c>
      <c r="F146" s="53"/>
      <c r="G146" s="53"/>
      <c r="H146" s="283"/>
      <c r="I146" s="284"/>
    </row>
    <row r="147" spans="1:9" ht="15.75">
      <c r="A147" s="81" t="s">
        <v>188</v>
      </c>
      <c r="B147" s="53"/>
      <c r="C147" s="53"/>
      <c r="D147" s="83">
        <f>+D146/F142</f>
        <v>5.02092050209205</v>
      </c>
      <c r="E147" s="82">
        <f>ROUND((SUMPRODUCT(B42:B44,C42:C44)+SUMPRODUCT(B49:B57,C49:C57))*D147/H97,0)</f>
        <v>157</v>
      </c>
      <c r="F147" s="53"/>
      <c r="G147" s="53"/>
      <c r="H147" s="285">
        <f>ROUND(E147*$D$108*12/D109,0)</f>
        <v>108</v>
      </c>
      <c r="I147" s="285"/>
    </row>
    <row r="148" spans="1:7" ht="15">
      <c r="A148" s="53"/>
      <c r="B148" s="53"/>
      <c r="C148" s="53"/>
      <c r="D148" s="53"/>
      <c r="F148" s="53"/>
      <c r="G148" s="53"/>
    </row>
    <row r="149" ht="12.75">
      <c r="A149" s="42" t="s">
        <v>130</v>
      </c>
    </row>
    <row r="152" spans="1:9" ht="24.75">
      <c r="A152" s="101" t="s">
        <v>33</v>
      </c>
      <c r="B152" s="5"/>
      <c r="C152" s="5"/>
      <c r="E152" s="5"/>
      <c r="F152" s="5"/>
      <c r="H152" s="5"/>
      <c r="I152" s="5"/>
    </row>
    <row r="154" ht="19.5">
      <c r="A154" s="59" t="s">
        <v>177</v>
      </c>
    </row>
    <row r="155" ht="12.75">
      <c r="E155" s="5" t="s">
        <v>71</v>
      </c>
    </row>
    <row r="156" spans="1:5" ht="12.75">
      <c r="A156" s="10" t="s">
        <v>164</v>
      </c>
      <c r="E156" s="162">
        <f>+F220</f>
        <v>18473.528082593613</v>
      </c>
    </row>
    <row r="158" spans="2:5" ht="12.75">
      <c r="B158" s="5" t="s">
        <v>52</v>
      </c>
      <c r="C158" s="5" t="s">
        <v>47</v>
      </c>
      <c r="D158" s="5" t="s">
        <v>78</v>
      </c>
      <c r="E158" s="5" t="s">
        <v>71</v>
      </c>
    </row>
    <row r="159" spans="1:5" ht="12.75">
      <c r="A159" s="100" t="s">
        <v>35</v>
      </c>
      <c r="B159" s="111">
        <v>70</v>
      </c>
      <c r="C159" s="111">
        <v>2.6</v>
      </c>
      <c r="D159" s="111">
        <v>2.7</v>
      </c>
      <c r="E159" s="162">
        <f>B159*C159*D159*$H$9</f>
        <v>1425.06</v>
      </c>
    </row>
    <row r="160" spans="1:5" ht="12.75">
      <c r="A160" s="100" t="s">
        <v>66</v>
      </c>
      <c r="B160" s="111">
        <v>50</v>
      </c>
      <c r="C160" s="111">
        <v>3</v>
      </c>
      <c r="D160" s="111">
        <v>2.7</v>
      </c>
      <c r="E160" s="162">
        <f>B160*C160*D160*$H$9</f>
        <v>1174.5</v>
      </c>
    </row>
    <row r="161" spans="1:5" ht="12.75">
      <c r="A161" s="166" t="s">
        <v>34</v>
      </c>
      <c r="B161" s="111"/>
      <c r="C161" s="111"/>
      <c r="D161" s="111"/>
      <c r="E161" s="162">
        <f>B161*C161*D161*$H$9</f>
        <v>0</v>
      </c>
    </row>
    <row r="162" ht="13.5" thickBot="1"/>
    <row r="163" spans="4:9" ht="13.5" thickBot="1">
      <c r="D163" s="170" t="s">
        <v>103</v>
      </c>
      <c r="E163" s="163">
        <f>SUM(E156:E160)</f>
        <v>21073.088082593615</v>
      </c>
      <c r="G163" s="165" t="s">
        <v>104</v>
      </c>
      <c r="H163" s="164">
        <f>+E163/H9</f>
        <v>7266.582097446074</v>
      </c>
      <c r="I163" t="s">
        <v>105</v>
      </c>
    </row>
    <row r="166" ht="19.5">
      <c r="A166" s="59" t="s">
        <v>173</v>
      </c>
    </row>
    <row r="167" spans="4:8" ht="12.75">
      <c r="D167" s="279" t="s">
        <v>36</v>
      </c>
      <c r="E167" s="279"/>
      <c r="F167" s="279" t="s">
        <v>37</v>
      </c>
      <c r="G167" s="279"/>
      <c r="H167" s="48" t="s">
        <v>110</v>
      </c>
    </row>
    <row r="168" spans="1:8" ht="12.75">
      <c r="A168" s="10" t="s">
        <v>106</v>
      </c>
      <c r="D168" s="280">
        <v>8</v>
      </c>
      <c r="E168" s="280"/>
      <c r="F168" s="280">
        <v>5</v>
      </c>
      <c r="G168" s="280"/>
      <c r="H168" s="167">
        <f>+F168*D168</f>
        <v>40</v>
      </c>
    </row>
    <row r="170" spans="1:7" ht="12.75">
      <c r="A170" s="10" t="s">
        <v>112</v>
      </c>
      <c r="C170" t="s">
        <v>107</v>
      </c>
      <c r="F170" s="111">
        <v>125</v>
      </c>
      <c r="G170" t="s">
        <v>39</v>
      </c>
    </row>
    <row r="171" spans="1:7" ht="12.75">
      <c r="A171" s="10"/>
      <c r="C171" t="s">
        <v>180</v>
      </c>
      <c r="F171" s="111">
        <f>2.9*0.67</f>
        <v>1.943</v>
      </c>
      <c r="G171" t="s">
        <v>7</v>
      </c>
    </row>
    <row r="172" spans="3:7" ht="12.75">
      <c r="C172" t="s">
        <v>108</v>
      </c>
      <c r="F172" s="111">
        <v>6.5</v>
      </c>
      <c r="G172" t="s">
        <v>109</v>
      </c>
    </row>
    <row r="173" spans="3:8" ht="12.75">
      <c r="C173" t="s">
        <v>38</v>
      </c>
      <c r="F173" s="41">
        <f>IF(F170=0,0,IF(F172=0,0,H163/F170*F171/F172))</f>
        <v>17.37719263426181</v>
      </c>
      <c r="G173" s="208" t="s">
        <v>21</v>
      </c>
      <c r="H173" s="48" t="s">
        <v>110</v>
      </c>
    </row>
    <row r="174" spans="3:8" ht="12.75">
      <c r="C174" t="s">
        <v>76</v>
      </c>
      <c r="F174" s="128">
        <v>2</v>
      </c>
      <c r="G174" t="s">
        <v>40</v>
      </c>
      <c r="H174" s="168">
        <f>IF(F174=0,0,+F173/F174)</f>
        <v>8.688596317130905</v>
      </c>
    </row>
    <row r="176" spans="1:4" ht="15">
      <c r="A176" s="52" t="s">
        <v>111</v>
      </c>
      <c r="C176" s="168">
        <f>+H168+H174</f>
        <v>48.6885963171309</v>
      </c>
      <c r="D176" s="10" t="s">
        <v>22</v>
      </c>
    </row>
    <row r="177" ht="12.75">
      <c r="C177" s="5" t="s">
        <v>41</v>
      </c>
    </row>
    <row r="178" spans="3:5" ht="12.75">
      <c r="C178" s="169">
        <f>+C176/D64</f>
        <v>2.3407978998620624</v>
      </c>
      <c r="D178" s="10" t="s">
        <v>32</v>
      </c>
      <c r="E178" t="s">
        <v>113</v>
      </c>
    </row>
    <row r="180" ht="24.75">
      <c r="A180" s="101" t="s">
        <v>132</v>
      </c>
    </row>
    <row r="181" ht="15" customHeight="1"/>
    <row r="182" spans="1:4" ht="18">
      <c r="A182" s="232" t="s">
        <v>42</v>
      </c>
      <c r="D182" s="86"/>
    </row>
    <row r="184" ht="12" customHeight="1" thickBot="1">
      <c r="A184" s="56"/>
    </row>
    <row r="185" spans="1:9" ht="18">
      <c r="A185" s="52"/>
      <c r="C185" s="254" t="s">
        <v>45</v>
      </c>
      <c r="D185" s="255"/>
      <c r="E185" s="254" t="s">
        <v>114</v>
      </c>
      <c r="F185" s="256"/>
      <c r="G185" s="255"/>
      <c r="H185" s="254" t="s">
        <v>1</v>
      </c>
      <c r="I185" s="255"/>
    </row>
    <row r="186" spans="1:9" ht="15">
      <c r="A186" s="52"/>
      <c r="C186" s="137" t="s">
        <v>53</v>
      </c>
      <c r="D186" s="138" t="s">
        <v>71</v>
      </c>
      <c r="E186" s="137" t="s">
        <v>53</v>
      </c>
      <c r="F186" s="48" t="s">
        <v>71</v>
      </c>
      <c r="G186" s="138" t="s">
        <v>60</v>
      </c>
      <c r="H186" s="137" t="s">
        <v>53</v>
      </c>
      <c r="I186" s="138" t="s">
        <v>71</v>
      </c>
    </row>
    <row r="187" spans="1:9" ht="15">
      <c r="A187" s="80" t="s">
        <v>35</v>
      </c>
      <c r="C187" s="139">
        <f>+F42+F49</f>
        <v>140</v>
      </c>
      <c r="D187" s="89">
        <f>ROUND(F42*G42+F49*G558,0)</f>
        <v>1477</v>
      </c>
      <c r="E187" s="140">
        <f>+B42+B49</f>
        <v>60</v>
      </c>
      <c r="F187" s="64">
        <f>ROUND(+B42*C42+B49*C49,0)</f>
        <v>1266</v>
      </c>
      <c r="G187" s="145">
        <f>IF(F187=0,0,ROUND((B42*C42*E42+B49*C49*E49)/(B42*C42+B49*C49),2))</f>
        <v>5</v>
      </c>
      <c r="H187" s="140">
        <f aca="true" t="shared" si="12" ref="H187:I193">+C187+E187</f>
        <v>200</v>
      </c>
      <c r="I187" s="150">
        <f t="shared" si="12"/>
        <v>2743</v>
      </c>
    </row>
    <row r="188" spans="1:9" ht="15">
      <c r="A188" s="80" t="s">
        <v>66</v>
      </c>
      <c r="C188" s="140">
        <f>+F50</f>
        <v>60</v>
      </c>
      <c r="D188" s="98">
        <f>ROUND(F50*G50,0)</f>
        <v>1410</v>
      </c>
      <c r="E188" s="140">
        <f>+B50</f>
        <v>0</v>
      </c>
      <c r="F188" s="108">
        <f>ROUND(+C50*B50,0)</f>
        <v>0</v>
      </c>
      <c r="G188" s="146">
        <f>+E50</f>
        <v>0</v>
      </c>
      <c r="H188" s="140">
        <f t="shared" si="12"/>
        <v>60</v>
      </c>
      <c r="I188" s="150">
        <f t="shared" si="12"/>
        <v>1410</v>
      </c>
    </row>
    <row r="189" spans="1:9" ht="15">
      <c r="A189" s="80" t="s">
        <v>24</v>
      </c>
      <c r="C189" s="140">
        <f>+F51</f>
        <v>0</v>
      </c>
      <c r="D189" s="98">
        <f>ROUND(F51*G51,0)</f>
        <v>0</v>
      </c>
      <c r="E189" s="140">
        <f>+B51</f>
        <v>61</v>
      </c>
      <c r="F189" s="108">
        <f>ROUND(+B51*C51,0)</f>
        <v>647</v>
      </c>
      <c r="G189" s="147">
        <f>+E51</f>
        <v>16</v>
      </c>
      <c r="H189" s="140">
        <f t="shared" si="12"/>
        <v>61</v>
      </c>
      <c r="I189" s="150">
        <f t="shared" si="12"/>
        <v>647</v>
      </c>
    </row>
    <row r="190" spans="1:9" ht="15">
      <c r="A190" s="80" t="s">
        <v>14</v>
      </c>
      <c r="C190" s="140">
        <f>+F53</f>
        <v>0</v>
      </c>
      <c r="D190" s="98">
        <f>ROUND(F53*G53,0)</f>
        <v>0</v>
      </c>
      <c r="E190" s="140">
        <f>+B53</f>
        <v>0</v>
      </c>
      <c r="F190" s="108">
        <f>ROUND(B53*C53,0)</f>
        <v>0</v>
      </c>
      <c r="G190" s="147">
        <f>+E53</f>
        <v>0</v>
      </c>
      <c r="H190" s="140">
        <f t="shared" si="12"/>
        <v>0</v>
      </c>
      <c r="I190" s="150">
        <f t="shared" si="12"/>
        <v>0</v>
      </c>
    </row>
    <row r="191" spans="1:9" ht="15">
      <c r="A191" s="80" t="s">
        <v>15</v>
      </c>
      <c r="C191" s="140">
        <f>+F54</f>
        <v>0</v>
      </c>
      <c r="D191" s="98">
        <f>ROUND(F54*G54,0)</f>
        <v>0</v>
      </c>
      <c r="E191" s="140">
        <f>+B54</f>
        <v>0</v>
      </c>
      <c r="F191" s="108">
        <f>ROUND(B54*C54,0)</f>
        <v>0</v>
      </c>
      <c r="G191" s="147">
        <f>+E54</f>
        <v>0</v>
      </c>
      <c r="H191" s="140">
        <f t="shared" si="12"/>
        <v>0</v>
      </c>
      <c r="I191" s="150">
        <f t="shared" si="12"/>
        <v>0</v>
      </c>
    </row>
    <row r="192" spans="1:9" ht="15">
      <c r="A192" s="80" t="s">
        <v>20</v>
      </c>
      <c r="C192" s="140">
        <f>+F55</f>
        <v>0</v>
      </c>
      <c r="D192" s="98">
        <f>ROUND(F55*G55,0)</f>
        <v>0</v>
      </c>
      <c r="E192" s="140">
        <f>+B55</f>
        <v>0</v>
      </c>
      <c r="F192" s="108">
        <f>ROUND(B55*C55,0)</f>
        <v>0</v>
      </c>
      <c r="G192" s="147">
        <f>+E55</f>
        <v>0</v>
      </c>
      <c r="H192" s="140">
        <f t="shared" si="12"/>
        <v>0</v>
      </c>
      <c r="I192" s="150">
        <f t="shared" si="12"/>
        <v>0</v>
      </c>
    </row>
    <row r="193" spans="1:9" ht="15">
      <c r="A193" s="80" t="s">
        <v>115</v>
      </c>
      <c r="C193" s="141">
        <f>+F43+F44+F52+F56+F57</f>
        <v>0</v>
      </c>
      <c r="D193" s="142">
        <f>ROUND(F43*G43+F44*G44+F52*G52+F56*G56+F57*G57,0)</f>
        <v>0</v>
      </c>
      <c r="E193" s="141">
        <f>+B43+B44+B52+B56+B57</f>
        <v>0</v>
      </c>
      <c r="F193" s="109">
        <f>ROUND(B43*C43+B44*C44+B52*C52+B56*C56+B57*C57,0)</f>
        <v>0</v>
      </c>
      <c r="G193" s="148">
        <f>IF(F193=0,0,ROUND((B43*C43*E43+B44*C44*E44+B52*C52*E52+B56*C56*E56+B57*C57*E57)/(B43*C43+B44*C44+B52*C52+B56*C56+B57*C57),2))</f>
        <v>0</v>
      </c>
      <c r="H193" s="141">
        <f t="shared" si="12"/>
        <v>0</v>
      </c>
      <c r="I193" s="151">
        <f t="shared" si="12"/>
        <v>0</v>
      </c>
    </row>
    <row r="194" spans="3:9" ht="13.5" thickBot="1">
      <c r="C194" s="143">
        <f>SUM(C187:C193)</f>
        <v>200</v>
      </c>
      <c r="D194" s="144">
        <f>SUM(D187:D193)</f>
        <v>2887</v>
      </c>
      <c r="E194" s="143">
        <f>SUM(E187:E193)</f>
        <v>121</v>
      </c>
      <c r="F194" s="149">
        <f>SUM(F187:F193)</f>
        <v>1913</v>
      </c>
      <c r="G194" s="144">
        <f>ROUND((G187*F187+G188*F188+G189*F189+G190*F190+G193*F193)/F194,2)</f>
        <v>8.72</v>
      </c>
      <c r="H194" s="152">
        <f>SUM(H187:H193)</f>
        <v>321</v>
      </c>
      <c r="I194" s="144">
        <f>SUM(I187:I193)</f>
        <v>4800</v>
      </c>
    </row>
    <row r="195" ht="12.75">
      <c r="E195" s="37"/>
    </row>
    <row r="196" spans="5:8" ht="15.75">
      <c r="E196" s="37"/>
      <c r="G196" s="129">
        <f>ROUND(F194*G194*G217/32.1034,0)</f>
        <v>496</v>
      </c>
      <c r="H196" s="88" t="s">
        <v>116</v>
      </c>
    </row>
    <row r="197" spans="5:8" ht="15.75">
      <c r="E197" s="37"/>
      <c r="G197" s="228"/>
      <c r="H197" s="88"/>
    </row>
    <row r="198" spans="1:7" ht="15.75">
      <c r="A198" s="81" t="s">
        <v>131</v>
      </c>
      <c r="E198" s="37"/>
      <c r="G198" s="87"/>
    </row>
    <row r="199" ht="13.5" thickBot="1"/>
    <row r="200" spans="3:7" ht="15.75">
      <c r="C200" s="251" t="s">
        <v>43</v>
      </c>
      <c r="D200" s="252"/>
      <c r="E200" s="251" t="s">
        <v>44</v>
      </c>
      <c r="F200" s="253"/>
      <c r="G200" s="209" t="s">
        <v>45</v>
      </c>
    </row>
    <row r="201" spans="3:7" ht="12.75">
      <c r="C201" s="137" t="s">
        <v>71</v>
      </c>
      <c r="D201" s="138" t="s">
        <v>60</v>
      </c>
      <c r="E201" s="137" t="s">
        <v>71</v>
      </c>
      <c r="F201" s="138" t="s">
        <v>60</v>
      </c>
      <c r="G201" s="173" t="s">
        <v>71</v>
      </c>
    </row>
    <row r="202" spans="1:7" ht="15">
      <c r="A202" s="80" t="s">
        <v>24</v>
      </c>
      <c r="C202" s="174">
        <f>+B51*C51</f>
        <v>646.6</v>
      </c>
      <c r="D202" s="175">
        <f>+E51</f>
        <v>16</v>
      </c>
      <c r="E202" s="174">
        <f>+C202/(1+D51)</f>
        <v>497.38461538461536</v>
      </c>
      <c r="F202" s="176">
        <f>IF(E202=0,0,D202*C202/E202)</f>
        <v>20.8</v>
      </c>
      <c r="G202" s="177">
        <f>+C202-E202</f>
        <v>149.21538461538466</v>
      </c>
    </row>
    <row r="203" spans="1:7" ht="15">
      <c r="A203" s="80" t="s">
        <v>169</v>
      </c>
      <c r="C203" s="174">
        <f>B52*C52</f>
        <v>0</v>
      </c>
      <c r="D203" s="175">
        <f>+E52</f>
        <v>0</v>
      </c>
      <c r="E203" s="174">
        <f>+C203/(1+D52)</f>
        <v>0</v>
      </c>
      <c r="F203" s="176">
        <f>IF(E203=0,0,D203*C203/E203)</f>
        <v>0</v>
      </c>
      <c r="G203" s="177">
        <f>+C203-E203</f>
        <v>0</v>
      </c>
    </row>
    <row r="204" spans="1:7" ht="15">
      <c r="A204" s="80" t="s">
        <v>14</v>
      </c>
      <c r="C204" s="174">
        <f>B53*C53</f>
        <v>0</v>
      </c>
      <c r="D204" s="175">
        <f>+E53</f>
        <v>0</v>
      </c>
      <c r="E204" s="174">
        <f>+C204/(1+D53)</f>
        <v>0</v>
      </c>
      <c r="F204" s="176">
        <f>IF(E204=0,0,D204*C204/E204)</f>
        <v>0</v>
      </c>
      <c r="G204" s="177">
        <f>+C204-E204</f>
        <v>0</v>
      </c>
    </row>
    <row r="205" spans="1:7" ht="15">
      <c r="A205" s="80" t="s">
        <v>15</v>
      </c>
      <c r="C205" s="174">
        <f>B54*C54</f>
        <v>0</v>
      </c>
      <c r="D205" s="175">
        <f>+E54</f>
        <v>0</v>
      </c>
      <c r="E205" s="174">
        <f>+C205/(1+D54)</f>
        <v>0</v>
      </c>
      <c r="F205" s="176">
        <f>IF(E205=0,0,D205*C205/E205)</f>
        <v>0</v>
      </c>
      <c r="G205" s="177">
        <f>+C205-E205</f>
        <v>0</v>
      </c>
    </row>
    <row r="206" spans="1:7" ht="15">
      <c r="A206" s="80" t="s">
        <v>20</v>
      </c>
      <c r="C206" s="174">
        <f>B55*C55</f>
        <v>0</v>
      </c>
      <c r="D206" s="175">
        <f>+E55</f>
        <v>0</v>
      </c>
      <c r="E206" s="174">
        <f>+C206/(1+D55)</f>
        <v>0</v>
      </c>
      <c r="F206" s="176">
        <f>IF(E206=0,0,D206*C206/E206)</f>
        <v>0</v>
      </c>
      <c r="G206" s="177">
        <f>+C206-E206</f>
        <v>0</v>
      </c>
    </row>
    <row r="207" spans="3:7" ht="13.5" thickBot="1">
      <c r="C207" s="178">
        <f>SUM(C202:C206)</f>
        <v>646.6</v>
      </c>
      <c r="D207" s="179">
        <f>IF(C207=0,0,SUMPRODUCT(C202:C206,D202:D206)/C207)</f>
        <v>16</v>
      </c>
      <c r="E207" s="180">
        <f>SUM(E202:E206)</f>
        <v>497.38461538461536</v>
      </c>
      <c r="F207" s="181">
        <f>IF(E207=0,0,SUMPRODUCT(E202:E206,F202:F206)/E207)</f>
        <v>20.8</v>
      </c>
      <c r="G207" s="182">
        <f>SUM(G202:G206)</f>
        <v>149.21538461538466</v>
      </c>
    </row>
    <row r="208" spans="5:7" ht="15.75">
      <c r="E208" s="37"/>
      <c r="G208" s="87"/>
    </row>
    <row r="209" spans="5:7" ht="15.75">
      <c r="E209" s="37"/>
      <c r="F209" s="129">
        <f>ROUND(E207*F207*$G$217/32.1034,0)</f>
        <v>308</v>
      </c>
      <c r="G209" s="88" t="s">
        <v>116</v>
      </c>
    </row>
    <row r="210" spans="5:7" ht="15.75">
      <c r="E210" s="37"/>
      <c r="G210" s="87"/>
    </row>
    <row r="211" spans="1:7" ht="18">
      <c r="A211" s="232" t="s">
        <v>46</v>
      </c>
      <c r="E211" s="37"/>
      <c r="G211" s="87"/>
    </row>
    <row r="213" spans="1:7" ht="15.75">
      <c r="A213" s="53"/>
      <c r="B213" s="53"/>
      <c r="C213" s="53"/>
      <c r="D213" s="53"/>
      <c r="F213" s="87" t="s">
        <v>71</v>
      </c>
      <c r="G213" s="87" t="s">
        <v>60</v>
      </c>
    </row>
    <row r="214" spans="1:7" ht="15.75">
      <c r="A214" s="81" t="s">
        <v>52</v>
      </c>
      <c r="B214" s="135">
        <f>+A9</f>
        <v>55</v>
      </c>
      <c r="C214" s="53" t="s">
        <v>118</v>
      </c>
      <c r="D214" s="229" t="s">
        <v>117</v>
      </c>
      <c r="F214" s="84">
        <f>+A14-E207</f>
        <v>16994.354200959227</v>
      </c>
      <c r="G214" s="83">
        <f>+D14</f>
        <v>15.909090909090907</v>
      </c>
    </row>
    <row r="215" spans="1:7" ht="15.75">
      <c r="A215" s="81" t="s">
        <v>47</v>
      </c>
      <c r="B215" s="83">
        <f>+B9</f>
        <v>1.8</v>
      </c>
      <c r="C215" s="53" t="s">
        <v>118</v>
      </c>
      <c r="D215" s="229" t="s">
        <v>69</v>
      </c>
      <c r="F215" s="85">
        <f>+E14</f>
        <v>0.1</v>
      </c>
      <c r="G215" s="81"/>
    </row>
    <row r="216" spans="1:7" ht="15.75">
      <c r="A216" s="81" t="s">
        <v>48</v>
      </c>
      <c r="B216" s="135">
        <f>+C9</f>
        <v>60</v>
      </c>
      <c r="C216" s="53" t="s">
        <v>118</v>
      </c>
      <c r="D216" s="99" t="s">
        <v>119</v>
      </c>
      <c r="E216" s="9"/>
      <c r="F216" s="157">
        <f>+D118</f>
        <v>270</v>
      </c>
      <c r="G216" s="158">
        <f>+D14</f>
        <v>15.909090909090907</v>
      </c>
    </row>
    <row r="217" spans="1:7" ht="15.75">
      <c r="A217" s="81" t="s">
        <v>49</v>
      </c>
      <c r="B217" s="82">
        <f>+D9</f>
        <v>80</v>
      </c>
      <c r="C217" s="53" t="s">
        <v>4</v>
      </c>
      <c r="D217" s="229" t="s">
        <v>174</v>
      </c>
      <c r="G217" s="237">
        <v>0.955</v>
      </c>
    </row>
    <row r="218" spans="1:3" ht="15.75">
      <c r="A218" s="88" t="s">
        <v>50</v>
      </c>
      <c r="B218" s="136">
        <f>+H9</f>
        <v>2.9</v>
      </c>
      <c r="C218" s="53" t="s">
        <v>7</v>
      </c>
    </row>
    <row r="219" spans="6:8" ht="15.75">
      <c r="F219" s="87" t="s">
        <v>71</v>
      </c>
      <c r="G219" s="87" t="s">
        <v>60</v>
      </c>
      <c r="H219" s="87" t="s">
        <v>121</v>
      </c>
    </row>
    <row r="220" spans="4:8" ht="15.75">
      <c r="D220" s="230" t="s">
        <v>120</v>
      </c>
      <c r="E220" s="231"/>
      <c r="F220" s="84">
        <f>+C14-F216-E207</f>
        <v>18473.528082593613</v>
      </c>
      <c r="G220" s="83">
        <f>+H220*32.1034/F220/G217</f>
        <v>14.07531527137868</v>
      </c>
      <c r="H220" s="129">
        <f>ROUND(+F214*G214*G217/32.1034,0)-F209</f>
        <v>7735</v>
      </c>
    </row>
    <row r="221" spans="1:7" ht="15.75">
      <c r="A221" s="165" t="s">
        <v>122</v>
      </c>
      <c r="B221" t="s">
        <v>179</v>
      </c>
      <c r="E221" s="37"/>
      <c r="G221" s="87"/>
    </row>
    <row r="222" spans="2:7" ht="15.75">
      <c r="B222" t="s">
        <v>166</v>
      </c>
      <c r="E222" s="37"/>
      <c r="G222" s="87"/>
    </row>
    <row r="223" spans="5:7" ht="24.75" customHeight="1">
      <c r="E223" s="37"/>
      <c r="G223" s="87"/>
    </row>
    <row r="224" spans="1:7" ht="18">
      <c r="A224" s="232" t="s">
        <v>51</v>
      </c>
      <c r="E224" s="37"/>
      <c r="G224" s="87"/>
    </row>
    <row r="225" spans="1:7" ht="15" customHeight="1">
      <c r="A225" s="56"/>
      <c r="E225" s="37"/>
      <c r="G225" s="87"/>
    </row>
    <row r="226" spans="6:8" ht="15.75">
      <c r="F226" s="87" t="s">
        <v>71</v>
      </c>
      <c r="G226" s="87" t="s">
        <v>60</v>
      </c>
      <c r="H226" s="87" t="s">
        <v>121</v>
      </c>
    </row>
    <row r="227" spans="5:8" ht="15.75">
      <c r="E227" s="156" t="s">
        <v>123</v>
      </c>
      <c r="F227" s="84">
        <f>+F194</f>
        <v>1913</v>
      </c>
      <c r="G227" s="83">
        <f>+G194</f>
        <v>8.72</v>
      </c>
      <c r="H227" s="129">
        <f>+G196</f>
        <v>496</v>
      </c>
    </row>
    <row r="228" spans="4:8" ht="16.5" thickBot="1">
      <c r="D228" s="86"/>
      <c r="E228" s="156" t="s">
        <v>124</v>
      </c>
      <c r="F228" s="183">
        <f>+F220</f>
        <v>18473.528082593613</v>
      </c>
      <c r="G228" s="184">
        <f>+G220</f>
        <v>14.07531527137868</v>
      </c>
      <c r="H228" s="185">
        <f>+H220</f>
        <v>7735</v>
      </c>
    </row>
    <row r="229" spans="4:8" ht="16.5" thickBot="1">
      <c r="D229" s="86"/>
      <c r="F229" s="186">
        <f>+F227+F228</f>
        <v>20386.528082593613</v>
      </c>
      <c r="G229" s="187">
        <f>+H229*32.1034/F229/G217</f>
        <v>13.572410620424707</v>
      </c>
      <c r="H229" s="188">
        <f>+H227+H228</f>
        <v>8231</v>
      </c>
    </row>
  </sheetData>
  <mergeCells count="38">
    <mergeCell ref="H131:I131"/>
    <mergeCell ref="F167:G167"/>
    <mergeCell ref="F168:G168"/>
    <mergeCell ref="D167:E167"/>
    <mergeCell ref="D168:E168"/>
    <mergeCell ref="H145:I146"/>
    <mergeCell ref="H147:I147"/>
    <mergeCell ref="H132:I132"/>
    <mergeCell ref="H133:I133"/>
    <mergeCell ref="A71:B71"/>
    <mergeCell ref="B47:E47"/>
    <mergeCell ref="F47:G47"/>
    <mergeCell ref="F114:I114"/>
    <mergeCell ref="H97:I97"/>
    <mergeCell ref="H95:I95"/>
    <mergeCell ref="H96:I96"/>
    <mergeCell ref="A12:B12"/>
    <mergeCell ref="C12:E12"/>
    <mergeCell ref="B40:E40"/>
    <mergeCell ref="E8:F8"/>
    <mergeCell ref="E9:F9"/>
    <mergeCell ref="F40:G40"/>
    <mergeCell ref="G26:G27"/>
    <mergeCell ref="C7:C8"/>
    <mergeCell ref="H185:I185"/>
    <mergeCell ref="C26:D26"/>
    <mergeCell ref="A96:C96"/>
    <mergeCell ref="A97:C97"/>
    <mergeCell ref="H26:H27"/>
    <mergeCell ref="H47:I47"/>
    <mergeCell ref="H40:I40"/>
    <mergeCell ref="H134:I134"/>
    <mergeCell ref="A81:B81"/>
    <mergeCell ref="F119:I119"/>
    <mergeCell ref="C200:D200"/>
    <mergeCell ref="E200:F200"/>
    <mergeCell ref="C185:D185"/>
    <mergeCell ref="E185:G185"/>
  </mergeCells>
  <printOptions/>
  <pageMargins left="0.65" right="0.65" top="1" bottom="1" header="0.4921259845" footer="0.4921259845"/>
  <pageSetup cellComments="asDisplayed" horizontalDpi="600" verticalDpi="600" orientation="portrait" scale="68" r:id="rId4"/>
  <headerFooter alignWithMargins="0">
    <oddFooter>&amp;LFile:  &amp;F
Sheet:  &amp;A
Page &amp;P of &amp;N&amp;CExperimental Mine
Val-d'Or&amp;R&amp;D
&amp;T</oddFooter>
  </headerFooter>
  <rowBreaks count="3" manualBreakCount="3">
    <brk id="66" max="255" man="1"/>
    <brk id="122" max="8" man="1"/>
    <brk id="179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="75" zoomScaleNormal="75" workbookViewId="0" topLeftCell="A26">
      <selection activeCell="D35" sqref="D35"/>
    </sheetView>
  </sheetViews>
  <sheetFormatPr defaultColWidth="9.140625" defaultRowHeight="12.75"/>
  <cols>
    <col min="1" max="1" width="11.421875" style="0" customWidth="1"/>
    <col min="2" max="2" width="13.7109375" style="0" customWidth="1"/>
    <col min="3" max="3" width="13.421875" style="0" customWidth="1"/>
    <col min="4" max="4" width="14.28125" style="0" customWidth="1"/>
    <col min="5" max="5" width="14.8515625" style="0" customWidth="1"/>
    <col min="6" max="6" width="15.140625" style="0" customWidth="1"/>
    <col min="7" max="7" width="12.421875" style="0" customWidth="1"/>
    <col min="8" max="8" width="13.8515625" style="0" customWidth="1"/>
    <col min="9" max="9" width="14.140625" style="0" customWidth="1"/>
    <col min="10" max="16384" width="11.421875" style="0" customWidth="1"/>
  </cols>
  <sheetData>
    <row r="1" ht="12.75">
      <c r="I1" s="236" t="s">
        <v>192</v>
      </c>
    </row>
    <row r="2" ht="27">
      <c r="A2" s="51" t="s">
        <v>134</v>
      </c>
    </row>
    <row r="4" ht="22.5">
      <c r="A4" s="27" t="s">
        <v>135</v>
      </c>
    </row>
    <row r="5" spans="3:8" ht="17.25" customHeight="1">
      <c r="C5" s="10"/>
      <c r="D5" s="10"/>
      <c r="E5" s="247" t="s">
        <v>55</v>
      </c>
      <c r="F5" s="10"/>
      <c r="G5" s="247" t="s">
        <v>136</v>
      </c>
      <c r="H5" s="17" t="str">
        <f>Stope!I7</f>
        <v>Swell</v>
      </c>
    </row>
    <row r="6" spans="1:8" ht="16.5">
      <c r="A6" s="238" t="s">
        <v>194</v>
      </c>
      <c r="C6" s="18" t="s">
        <v>53</v>
      </c>
      <c r="D6" s="19" t="s">
        <v>54</v>
      </c>
      <c r="E6" s="304"/>
      <c r="F6" s="171" t="s">
        <v>56</v>
      </c>
      <c r="G6" s="304"/>
      <c r="H6" s="20" t="str">
        <f>Stope!I8</f>
        <v>factor</v>
      </c>
    </row>
    <row r="7" spans="3:8" ht="12.75">
      <c r="C7" s="4">
        <f>Stope!A9</f>
        <v>55</v>
      </c>
      <c r="D7" s="4">
        <f>Stope!B9</f>
        <v>1.8</v>
      </c>
      <c r="E7" s="4">
        <f>Stope!C9</f>
        <v>60</v>
      </c>
      <c r="F7" s="4">
        <f>Stope!D9</f>
        <v>80</v>
      </c>
      <c r="G7" s="4">
        <f>Stope!H9</f>
        <v>2.9</v>
      </c>
      <c r="H7" s="4">
        <f>Stope!I9</f>
        <v>1.38</v>
      </c>
    </row>
    <row r="10" ht="16.5">
      <c r="A10" s="238" t="s">
        <v>195</v>
      </c>
    </row>
    <row r="12" spans="1:8" ht="27">
      <c r="A12" s="51"/>
      <c r="F12" s="233" t="s">
        <v>150</v>
      </c>
      <c r="H12" s="10"/>
    </row>
    <row r="13" spans="1:6" ht="15">
      <c r="A13" s="292" t="s">
        <v>140</v>
      </c>
      <c r="B13" s="292"/>
      <c r="C13" s="292" t="s">
        <v>182</v>
      </c>
      <c r="D13" s="292"/>
      <c r="E13" s="18" t="s">
        <v>53</v>
      </c>
      <c r="F13" s="234" t="s">
        <v>151</v>
      </c>
    </row>
    <row r="14" spans="1:6" ht="12.75">
      <c r="A14" s="293">
        <v>10</v>
      </c>
      <c r="B14" s="293"/>
      <c r="C14" s="293">
        <v>2.9</v>
      </c>
      <c r="D14" s="293"/>
      <c r="E14" s="103">
        <v>10</v>
      </c>
      <c r="F14" s="66">
        <v>38</v>
      </c>
    </row>
    <row r="15" ht="13.5" thickBot="1"/>
    <row r="16" spans="1:9" ht="15.75" thickBot="1">
      <c r="A16" s="294" t="s">
        <v>141</v>
      </c>
      <c r="B16" s="295"/>
      <c r="C16" s="296"/>
      <c r="D16" s="294" t="s">
        <v>142</v>
      </c>
      <c r="E16" s="295"/>
      <c r="F16" s="296"/>
      <c r="G16" s="294" t="s">
        <v>143</v>
      </c>
      <c r="H16" s="295"/>
      <c r="I16" s="296"/>
    </row>
    <row r="17" spans="1:9" ht="12.75">
      <c r="A17" s="28" t="s">
        <v>137</v>
      </c>
      <c r="B17" s="29" t="s">
        <v>138</v>
      </c>
      <c r="C17" s="30"/>
      <c r="D17" s="28" t="s">
        <v>137</v>
      </c>
      <c r="E17" s="29" t="s">
        <v>138</v>
      </c>
      <c r="F17" s="30"/>
      <c r="G17" s="28" t="s">
        <v>137</v>
      </c>
      <c r="H17" s="29" t="s">
        <v>138</v>
      </c>
      <c r="I17" s="30"/>
    </row>
    <row r="18" spans="1:9" ht="12.75">
      <c r="A18" s="110">
        <v>6</v>
      </c>
      <c r="B18" s="22">
        <f>+$C$7/(A18-1)</f>
        <v>11</v>
      </c>
      <c r="C18" s="11" t="s">
        <v>118</v>
      </c>
      <c r="D18" s="110">
        <v>5</v>
      </c>
      <c r="E18" s="22">
        <f>+$C$7/(D18)</f>
        <v>11</v>
      </c>
      <c r="F18" s="11" t="s">
        <v>118</v>
      </c>
      <c r="G18" s="110">
        <v>6</v>
      </c>
      <c r="H18" s="22">
        <f>+$C$7/(G18-0.5)</f>
        <v>10</v>
      </c>
      <c r="I18" s="11" t="s">
        <v>118</v>
      </c>
    </row>
    <row r="19" spans="1:9" ht="15">
      <c r="A19" s="297" t="s">
        <v>168</v>
      </c>
      <c r="B19" s="292"/>
      <c r="C19" s="298"/>
      <c r="D19" s="297" t="s">
        <v>168</v>
      </c>
      <c r="E19" s="292"/>
      <c r="F19" s="298"/>
      <c r="G19" s="297" t="s">
        <v>168</v>
      </c>
      <c r="H19" s="292"/>
      <c r="I19" s="298"/>
    </row>
    <row r="20" spans="1:9" ht="12.75">
      <c r="A20" s="31" t="s">
        <v>139</v>
      </c>
      <c r="B20" s="21" t="s">
        <v>8</v>
      </c>
      <c r="C20" s="32" t="s">
        <v>71</v>
      </c>
      <c r="D20" s="31" t="s">
        <v>139</v>
      </c>
      <c r="E20" s="21" t="s">
        <v>8</v>
      </c>
      <c r="F20" s="32" t="s">
        <v>71</v>
      </c>
      <c r="G20" s="31" t="s">
        <v>139</v>
      </c>
      <c r="H20" s="21" t="s">
        <v>8</v>
      </c>
      <c r="I20" s="32" t="s">
        <v>71</v>
      </c>
    </row>
    <row r="21" spans="1:9" ht="13.5" thickBot="1">
      <c r="A21" s="33">
        <f>+(B18-$C$14)/2*TAN($F$14*PI()/180)</f>
        <v>3.164206787352205</v>
      </c>
      <c r="B21" s="34">
        <f>+A21*(B18-$C$14)/2*$D$7*(A18-0.5)</f>
        <v>126.86887113888665</v>
      </c>
      <c r="C21" s="35">
        <f>B21*$G$7/$H$7</f>
        <v>266.60849732084876</v>
      </c>
      <c r="D21" s="33">
        <f>+(E18-$C$14)/2*TAN($F$14*PI()/180)</f>
        <v>3.164206787352205</v>
      </c>
      <c r="E21" s="34">
        <f>+D21*(E18-$C$14)/2*$D$7*(D18-0.5)</f>
        <v>103.80180365908907</v>
      </c>
      <c r="F21" s="35">
        <f>E21*$G$7/$H$7</f>
        <v>218.13422508069445</v>
      </c>
      <c r="G21" s="33">
        <f>+(H18-$C$14)/2*TAN($F$14*PI()/180)</f>
        <v>2.7735639740988463</v>
      </c>
      <c r="H21" s="34">
        <f>+G21*(H18-$C$14)/2*$D$7*(G18-0.5)</f>
        <v>97.47690586970394</v>
      </c>
      <c r="I21" s="35">
        <f>H21*$G$7/$H$7</f>
        <v>204.8427732044503</v>
      </c>
    </row>
    <row r="22" spans="1:9" ht="12.75">
      <c r="A22" s="13"/>
      <c r="B22" s="2"/>
      <c r="C22" s="11"/>
      <c r="D22" s="13"/>
      <c r="E22" s="2"/>
      <c r="F22" s="11"/>
      <c r="G22" s="13"/>
      <c r="H22" s="2"/>
      <c r="I22" s="11"/>
    </row>
    <row r="23" spans="1:9" ht="12.75">
      <c r="A23" s="13"/>
      <c r="B23" s="2"/>
      <c r="C23" s="11"/>
      <c r="D23" s="13"/>
      <c r="E23" s="2"/>
      <c r="F23" s="11"/>
      <c r="G23" s="13"/>
      <c r="H23" s="2"/>
      <c r="I23" s="11"/>
    </row>
    <row r="24" spans="1:9" ht="12.75">
      <c r="A24" s="13"/>
      <c r="B24" s="2"/>
      <c r="C24" s="11"/>
      <c r="D24" s="13"/>
      <c r="E24" s="2"/>
      <c r="F24" s="11"/>
      <c r="G24" s="13"/>
      <c r="H24" s="2"/>
      <c r="I24" s="11"/>
    </row>
    <row r="25" spans="1:9" ht="12.75">
      <c r="A25" s="13"/>
      <c r="B25" s="2"/>
      <c r="C25" s="11"/>
      <c r="D25" s="13"/>
      <c r="E25" s="2"/>
      <c r="F25" s="11"/>
      <c r="G25" s="13"/>
      <c r="H25" s="2"/>
      <c r="I25" s="11"/>
    </row>
    <row r="26" spans="1:9" ht="13.5" thickBot="1">
      <c r="A26" s="15"/>
      <c r="B26" s="7"/>
      <c r="C26" s="16"/>
      <c r="D26" s="15"/>
      <c r="E26" s="7"/>
      <c r="F26" s="16"/>
      <c r="G26" s="15"/>
      <c r="H26" s="7"/>
      <c r="I26" s="16"/>
    </row>
    <row r="28" spans="1:10" ht="13.5" thickBo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31" ht="27">
      <c r="A31" s="51" t="s">
        <v>193</v>
      </c>
    </row>
    <row r="33" ht="19.5">
      <c r="A33" s="102" t="s">
        <v>144</v>
      </c>
    </row>
    <row r="34" spans="5:6" ht="12.75" customHeight="1">
      <c r="E34" s="306"/>
      <c r="F34" s="307"/>
    </row>
    <row r="35" spans="1:6" ht="12.75">
      <c r="A35" s="245" t="s">
        <v>147</v>
      </c>
      <c r="B35" s="245"/>
      <c r="C35" s="18" t="s">
        <v>56</v>
      </c>
      <c r="D35" s="18" t="s">
        <v>53</v>
      </c>
      <c r="E35" s="305" t="s">
        <v>145</v>
      </c>
      <c r="F35" s="303"/>
    </row>
    <row r="36" spans="1:6" ht="12.75">
      <c r="A36" s="288">
        <f>+E7</f>
        <v>60</v>
      </c>
      <c r="B36" s="288"/>
      <c r="C36" s="49">
        <v>80</v>
      </c>
      <c r="D36" s="50">
        <f>A36/SIN(C36*PI()/180)</f>
        <v>60.9255967131447</v>
      </c>
      <c r="E36" s="302">
        <f>+D36*COS(C36*PI()/180)</f>
        <v>10.579618842507902</v>
      </c>
      <c r="F36" s="303"/>
    </row>
    <row r="39" ht="19.5">
      <c r="A39" s="102" t="s">
        <v>146</v>
      </c>
    </row>
    <row r="40" ht="19.5">
      <c r="A40" s="63"/>
    </row>
    <row r="41" ht="15">
      <c r="D41" s="52" t="s">
        <v>148</v>
      </c>
    </row>
    <row r="42" spans="4:9" ht="12.75">
      <c r="D42" s="279" t="s">
        <v>147</v>
      </c>
      <c r="E42" s="279"/>
      <c r="F42" s="38" t="s">
        <v>56</v>
      </c>
      <c r="G42" s="38" t="s">
        <v>57</v>
      </c>
      <c r="H42" s="38" t="s">
        <v>149</v>
      </c>
      <c r="I42" s="38" t="s">
        <v>152</v>
      </c>
    </row>
    <row r="43" spans="4:9" ht="12.75">
      <c r="D43" s="288">
        <f>+E7</f>
        <v>60</v>
      </c>
      <c r="E43" s="288"/>
      <c r="F43" s="66">
        <v>80</v>
      </c>
      <c r="G43" s="4">
        <v>2.9</v>
      </c>
      <c r="H43" s="66">
        <v>10.6</v>
      </c>
      <c r="I43" s="50">
        <f>D43/SIN(F43*PI()/180)</f>
        <v>60.9255967131447</v>
      </c>
    </row>
    <row r="44" ht="15">
      <c r="D44" s="52" t="s">
        <v>153</v>
      </c>
    </row>
    <row r="45" spans="4:7" ht="12.75">
      <c r="D45" s="38" t="s">
        <v>162</v>
      </c>
      <c r="E45" s="38" t="s">
        <v>154</v>
      </c>
      <c r="F45" s="38" t="s">
        <v>155</v>
      </c>
      <c r="G45" s="38" t="s">
        <v>156</v>
      </c>
    </row>
    <row r="46" spans="4:7" ht="12.75">
      <c r="D46" s="66">
        <v>2.4</v>
      </c>
      <c r="E46" s="66">
        <v>1.8</v>
      </c>
      <c r="F46" s="103">
        <f>(7.5+2*7.5)/3.28</f>
        <v>6.859756097560976</v>
      </c>
      <c r="G46" s="4">
        <f>ROUND(+F46*E46*D46*G43,0)</f>
        <v>86</v>
      </c>
    </row>
    <row r="48" spans="4:8" ht="12.75">
      <c r="D48" s="279" t="s">
        <v>157</v>
      </c>
      <c r="E48" s="279"/>
      <c r="F48" s="299" t="s">
        <v>158</v>
      </c>
      <c r="G48" s="300"/>
      <c r="H48" s="301"/>
    </row>
    <row r="49" spans="4:8" ht="12.75">
      <c r="D49" s="280">
        <v>4</v>
      </c>
      <c r="E49" s="280"/>
      <c r="F49" s="246">
        <f>+(D43-D49*D46)/(D49+1)</f>
        <v>10.08</v>
      </c>
      <c r="G49" s="246"/>
      <c r="H49" s="246"/>
    </row>
    <row r="51" spans="4:8" ht="12.75">
      <c r="D51" s="279" t="s">
        <v>133</v>
      </c>
      <c r="E51" s="279"/>
      <c r="F51" s="279"/>
      <c r="G51" s="6">
        <f>+F46*COS((90-F43)*PI()/180)</f>
        <v>6.755540988650818</v>
      </c>
      <c r="H51" t="s">
        <v>118</v>
      </c>
    </row>
    <row r="52" ht="13.5" thickBot="1"/>
    <row r="53" spans="4:7" ht="15.75">
      <c r="D53" s="235" t="s">
        <v>160</v>
      </c>
      <c r="E53" s="78" t="s">
        <v>159</v>
      </c>
      <c r="F53" s="78" t="s">
        <v>19</v>
      </c>
      <c r="G53" s="74" t="s">
        <v>1</v>
      </c>
    </row>
    <row r="54" spans="4:7" ht="15">
      <c r="D54" s="67" t="s">
        <v>53</v>
      </c>
      <c r="E54" s="50">
        <f>+D49+F46</f>
        <v>10.859756097560975</v>
      </c>
      <c r="F54" s="50">
        <f>+I43</f>
        <v>60.9255967131447</v>
      </c>
      <c r="G54" s="70">
        <f>+F54+E54</f>
        <v>71.78535281070567</v>
      </c>
    </row>
    <row r="55" spans="4:7" ht="15.75" thickBot="1">
      <c r="D55" s="69" t="s">
        <v>71</v>
      </c>
      <c r="E55" s="75">
        <f>ROUND(+D49*G46,0)</f>
        <v>344</v>
      </c>
      <c r="F55" s="75">
        <f>ROUND(+H43*I43,0)</f>
        <v>646</v>
      </c>
      <c r="G55" s="71">
        <f>+F55+E55</f>
        <v>990</v>
      </c>
    </row>
    <row r="57" spans="1:3" ht="12.75">
      <c r="A57" s="291" t="s">
        <v>161</v>
      </c>
      <c r="B57" s="291"/>
      <c r="C57" s="291"/>
    </row>
    <row r="65" ht="19.5">
      <c r="A65" s="102" t="s">
        <v>175</v>
      </c>
    </row>
    <row r="66" ht="19.5">
      <c r="A66" s="63"/>
    </row>
    <row r="67" ht="15">
      <c r="D67" s="52" t="s">
        <v>148</v>
      </c>
    </row>
    <row r="68" spans="4:10" ht="12.75">
      <c r="D68" s="279" t="s">
        <v>147</v>
      </c>
      <c r="E68" s="279"/>
      <c r="F68" s="38" t="s">
        <v>56</v>
      </c>
      <c r="G68" s="38" t="s">
        <v>57</v>
      </c>
      <c r="H68" s="38" t="s">
        <v>149</v>
      </c>
      <c r="I68" s="38" t="s">
        <v>152</v>
      </c>
      <c r="J68" s="38" t="s">
        <v>60</v>
      </c>
    </row>
    <row r="69" spans="4:10" ht="12.75">
      <c r="D69" s="288">
        <f>+E7</f>
        <v>60</v>
      </c>
      <c r="E69" s="288"/>
      <c r="F69" s="4">
        <f>+F7</f>
        <v>80</v>
      </c>
      <c r="G69" s="4">
        <v>2.9</v>
      </c>
      <c r="H69" s="66">
        <v>12.4</v>
      </c>
      <c r="I69" s="50">
        <f>D69/SIN(F69*PI()/180)</f>
        <v>60.9255967131447</v>
      </c>
      <c r="J69" s="112">
        <v>10</v>
      </c>
    </row>
    <row r="71" ht="15">
      <c r="D71" s="52" t="s">
        <v>153</v>
      </c>
    </row>
    <row r="72" spans="4:8" ht="12.75">
      <c r="D72" s="38" t="s">
        <v>162</v>
      </c>
      <c r="E72" s="38" t="s">
        <v>154</v>
      </c>
      <c r="F72" s="38" t="s">
        <v>155</v>
      </c>
      <c r="G72" s="38" t="s">
        <v>156</v>
      </c>
      <c r="H72" s="38" t="s">
        <v>60</v>
      </c>
    </row>
    <row r="73" spans="4:8" ht="12.75">
      <c r="D73" s="66">
        <v>2.4</v>
      </c>
      <c r="E73" s="66">
        <v>1.8</v>
      </c>
      <c r="F73" s="103">
        <f>(7.5+2*7.5)/3.28</f>
        <v>6.859756097560976</v>
      </c>
      <c r="G73" s="4">
        <f>ROUND(+F73*E73*D73*G69,0)</f>
        <v>86</v>
      </c>
      <c r="H73" s="112">
        <v>10</v>
      </c>
    </row>
    <row r="75" spans="4:8" ht="12.75">
      <c r="D75" s="279" t="s">
        <v>157</v>
      </c>
      <c r="E75" s="279"/>
      <c r="F75" s="299" t="s">
        <v>158</v>
      </c>
      <c r="G75" s="300"/>
      <c r="H75" s="301"/>
    </row>
    <row r="76" spans="4:8" ht="12.75">
      <c r="D76" s="280">
        <v>4</v>
      </c>
      <c r="E76" s="280"/>
      <c r="F76" s="246">
        <f>+(D69-D76*D73)/(D76+1)</f>
        <v>10.08</v>
      </c>
      <c r="G76" s="246"/>
      <c r="H76" s="246"/>
    </row>
    <row r="78" spans="4:8" ht="12.75">
      <c r="D78" s="279" t="s">
        <v>133</v>
      </c>
      <c r="E78" s="279"/>
      <c r="F78" s="279"/>
      <c r="G78" s="6">
        <f>+F73</f>
        <v>6.859756097560976</v>
      </c>
      <c r="H78" t="s">
        <v>118</v>
      </c>
    </row>
    <row r="79" ht="13.5" thickBot="1"/>
    <row r="80" spans="4:7" ht="15.75">
      <c r="D80" s="235" t="s">
        <v>160</v>
      </c>
      <c r="E80" s="78" t="s">
        <v>159</v>
      </c>
      <c r="F80" s="78" t="s">
        <v>19</v>
      </c>
      <c r="G80" s="74" t="s">
        <v>1</v>
      </c>
    </row>
    <row r="81" spans="4:7" ht="15">
      <c r="D81" s="67" t="s">
        <v>53</v>
      </c>
      <c r="E81" s="50">
        <f>+D76+F73</f>
        <v>10.859756097560975</v>
      </c>
      <c r="F81" s="50">
        <f>+I69</f>
        <v>60.9255967131447</v>
      </c>
      <c r="G81" s="70">
        <f>+F81+E81</f>
        <v>71.78535281070567</v>
      </c>
    </row>
    <row r="82" spans="1:7" ht="15">
      <c r="A82" s="289" t="s">
        <v>163</v>
      </c>
      <c r="B82" s="289"/>
      <c r="C82" s="290"/>
      <c r="D82" s="68" t="s">
        <v>71</v>
      </c>
      <c r="E82" s="76">
        <f>ROUND(+D76*G73,0)</f>
        <v>344</v>
      </c>
      <c r="F82" s="76">
        <f>ROUND(+H69*I69,0)</f>
        <v>755</v>
      </c>
      <c r="G82" s="72">
        <f>+F82+E82</f>
        <v>1099</v>
      </c>
    </row>
    <row r="83" spans="4:7" ht="15.75" thickBot="1">
      <c r="D83" s="69" t="s">
        <v>60</v>
      </c>
      <c r="E83" s="77">
        <f>+H73</f>
        <v>10</v>
      </c>
      <c r="F83" s="77">
        <f>+J69</f>
        <v>10</v>
      </c>
      <c r="G83" s="73">
        <f>(+F82*F83+E82*E83)/G82</f>
        <v>10</v>
      </c>
    </row>
  </sheetData>
  <mergeCells count="33">
    <mergeCell ref="E36:F36"/>
    <mergeCell ref="E5:E6"/>
    <mergeCell ref="G5:G6"/>
    <mergeCell ref="D19:F19"/>
    <mergeCell ref="G19:I19"/>
    <mergeCell ref="E35:F35"/>
    <mergeCell ref="E34:F34"/>
    <mergeCell ref="D78:F78"/>
    <mergeCell ref="D69:E69"/>
    <mergeCell ref="D75:E75"/>
    <mergeCell ref="F75:H75"/>
    <mergeCell ref="D76:E76"/>
    <mergeCell ref="F76:H76"/>
    <mergeCell ref="D49:E49"/>
    <mergeCell ref="F49:H49"/>
    <mergeCell ref="D51:F51"/>
    <mergeCell ref="D68:E68"/>
    <mergeCell ref="D42:E42"/>
    <mergeCell ref="D43:E43"/>
    <mergeCell ref="D48:E48"/>
    <mergeCell ref="F48:H48"/>
    <mergeCell ref="A16:C16"/>
    <mergeCell ref="D16:F16"/>
    <mergeCell ref="G16:I16"/>
    <mergeCell ref="A19:C19"/>
    <mergeCell ref="A13:B13"/>
    <mergeCell ref="C13:D13"/>
    <mergeCell ref="A14:B14"/>
    <mergeCell ref="C14:D14"/>
    <mergeCell ref="A35:B35"/>
    <mergeCell ref="A36:B36"/>
    <mergeCell ref="A82:C82"/>
    <mergeCell ref="A57:C57"/>
  </mergeCells>
  <printOptions/>
  <pageMargins left="0.75" right="0.75" top="1" bottom="1" header="0.4921259845" footer="0.4921259845"/>
  <pageSetup cellComments="asDisplayed" fitToHeight="2" horizontalDpi="600" verticalDpi="600" orientation="landscape" scale="90" r:id="rId4"/>
  <headerFooter alignWithMargins="0">
    <oddFooter>&amp;LFile:  &amp;F
Sheet:  &amp;A
Page &amp;P of &amp;N&amp;CExperimental Mine
Val-d'Or&amp;R&amp;D
&amp;T</oddFooter>
  </headerFooter>
  <rowBreaks count="2" manualBreakCount="2">
    <brk id="28" max="255" man="1"/>
    <brk id="6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zoomScale="75" zoomScaleNormal="75" workbookViewId="0" topLeftCell="A1">
      <selection activeCell="J12" sqref="J12"/>
    </sheetView>
  </sheetViews>
  <sheetFormatPr defaultColWidth="9.140625" defaultRowHeight="12.75"/>
  <cols>
    <col min="1" max="16384" width="11.421875" style="0" customWidth="1"/>
  </cols>
  <sheetData>
    <row r="1" ht="12.75">
      <c r="G1" s="236" t="s">
        <v>192</v>
      </c>
    </row>
    <row r="2" ht="14.25">
      <c r="E2" s="210"/>
    </row>
    <row r="3" ht="13.5" thickBot="1">
      <c r="F3" s="7"/>
    </row>
    <row r="4" spans="1:7" ht="12.75">
      <c r="A4" s="211"/>
      <c r="B4" s="212"/>
      <c r="C4" s="212"/>
      <c r="D4" s="212"/>
      <c r="E4" s="212"/>
      <c r="F4" s="2"/>
      <c r="G4" s="30"/>
    </row>
    <row r="5" spans="1:7" ht="12.75">
      <c r="A5" s="13"/>
      <c r="B5" s="2"/>
      <c r="C5" s="2"/>
      <c r="D5" s="2"/>
      <c r="E5" s="2"/>
      <c r="F5" s="2"/>
      <c r="G5" s="11"/>
    </row>
    <row r="6" spans="1:7" ht="12.75">
      <c r="A6" s="13"/>
      <c r="B6" s="2"/>
      <c r="C6" s="2"/>
      <c r="D6" s="2"/>
      <c r="E6" s="2"/>
      <c r="F6" s="2"/>
      <c r="G6" s="11"/>
    </row>
    <row r="7" spans="1:7" ht="12.75">
      <c r="A7" s="13"/>
      <c r="B7" s="2"/>
      <c r="C7" s="2"/>
      <c r="D7" s="2"/>
      <c r="E7" s="2"/>
      <c r="F7" s="2"/>
      <c r="G7" s="11"/>
    </row>
    <row r="8" spans="1:7" ht="12.75">
      <c r="A8" s="13"/>
      <c r="B8" s="2"/>
      <c r="C8" s="2"/>
      <c r="D8" s="2"/>
      <c r="E8" s="2"/>
      <c r="F8" s="2"/>
      <c r="G8" s="11"/>
    </row>
    <row r="9" spans="1:7" ht="12.75">
      <c r="A9" s="13"/>
      <c r="B9" s="2"/>
      <c r="C9" s="2"/>
      <c r="D9" s="2"/>
      <c r="E9" s="2"/>
      <c r="F9" s="2"/>
      <c r="G9" s="11"/>
    </row>
    <row r="10" spans="1:7" ht="12.75">
      <c r="A10" s="13"/>
      <c r="B10" s="2"/>
      <c r="C10" s="2"/>
      <c r="D10" s="2"/>
      <c r="E10" s="2"/>
      <c r="F10" s="2"/>
      <c r="G10" s="11"/>
    </row>
    <row r="11" spans="1:7" ht="12.75">
      <c r="A11" s="13"/>
      <c r="B11" s="2"/>
      <c r="C11" s="2"/>
      <c r="D11" s="2"/>
      <c r="E11" s="2"/>
      <c r="F11" s="2"/>
      <c r="G11" s="11"/>
    </row>
    <row r="12" spans="1:7" ht="12.75">
      <c r="A12" s="13"/>
      <c r="B12" s="2"/>
      <c r="C12" s="2"/>
      <c r="D12" s="2"/>
      <c r="E12" s="2"/>
      <c r="F12" s="2"/>
      <c r="G12" s="11"/>
    </row>
    <row r="13" spans="1:7" ht="12.75">
      <c r="A13" s="13"/>
      <c r="B13" s="2"/>
      <c r="C13" s="2"/>
      <c r="D13" s="2"/>
      <c r="E13" s="2"/>
      <c r="F13" s="2"/>
      <c r="G13" s="11"/>
    </row>
    <row r="14" spans="1:7" ht="12.75">
      <c r="A14" s="13"/>
      <c r="B14" s="2"/>
      <c r="C14" s="2"/>
      <c r="D14" s="2"/>
      <c r="E14" s="2"/>
      <c r="F14" s="2"/>
      <c r="G14" s="11"/>
    </row>
    <row r="15" spans="1:7" ht="12.75">
      <c r="A15" s="13"/>
      <c r="B15" s="2"/>
      <c r="C15" s="2"/>
      <c r="D15" s="2"/>
      <c r="E15" s="2"/>
      <c r="F15" s="2"/>
      <c r="G15" s="11"/>
    </row>
    <row r="16" spans="1:7" ht="12.75">
      <c r="A16" s="13"/>
      <c r="B16" s="2"/>
      <c r="C16" s="2"/>
      <c r="D16" s="2"/>
      <c r="E16" s="2"/>
      <c r="F16" s="2"/>
      <c r="G16" s="11"/>
    </row>
    <row r="17" spans="1:7" ht="12.75">
      <c r="A17" s="13"/>
      <c r="B17" s="2"/>
      <c r="C17" s="2"/>
      <c r="D17" s="2"/>
      <c r="E17" s="2"/>
      <c r="F17" s="2"/>
      <c r="G17" s="11"/>
    </row>
    <row r="18" spans="1:7" ht="13.5" thickBot="1">
      <c r="A18" s="15"/>
      <c r="B18" s="7"/>
      <c r="C18" s="7"/>
      <c r="D18" s="7"/>
      <c r="E18" s="7"/>
      <c r="F18" s="7"/>
      <c r="G18" s="16"/>
    </row>
    <row r="19" spans="1:7" ht="12.75">
      <c r="A19" s="211"/>
      <c r="B19" s="212"/>
      <c r="C19" s="212"/>
      <c r="D19" s="212"/>
      <c r="E19" s="212"/>
      <c r="F19" s="212"/>
      <c r="G19" s="30"/>
    </row>
    <row r="20" spans="1:7" ht="12.75">
      <c r="A20" s="13"/>
      <c r="B20" s="2"/>
      <c r="C20" s="2"/>
      <c r="D20" s="2"/>
      <c r="E20" s="2"/>
      <c r="F20" s="2"/>
      <c r="G20" s="11"/>
    </row>
    <row r="21" spans="1:7" ht="12.75">
      <c r="A21" s="13"/>
      <c r="B21" s="2"/>
      <c r="C21" s="2"/>
      <c r="D21" s="2"/>
      <c r="E21" s="2"/>
      <c r="F21" s="2"/>
      <c r="G21" s="11"/>
    </row>
    <row r="22" spans="1:7" ht="12.75">
      <c r="A22" s="13"/>
      <c r="B22" s="2"/>
      <c r="C22" s="2"/>
      <c r="D22" s="2"/>
      <c r="E22" s="2"/>
      <c r="F22" s="2"/>
      <c r="G22" s="11"/>
    </row>
    <row r="23" spans="1:7" ht="12.75">
      <c r="A23" s="13"/>
      <c r="B23" s="2"/>
      <c r="C23" s="2"/>
      <c r="D23" s="2"/>
      <c r="E23" s="2"/>
      <c r="F23" s="2"/>
      <c r="G23" s="11"/>
    </row>
    <row r="24" spans="1:7" ht="12.75">
      <c r="A24" s="13"/>
      <c r="B24" s="2"/>
      <c r="C24" s="2"/>
      <c r="D24" s="2"/>
      <c r="E24" s="2"/>
      <c r="F24" s="2"/>
      <c r="G24" s="11"/>
    </row>
    <row r="25" spans="1:7" ht="12.75">
      <c r="A25" s="13"/>
      <c r="B25" s="2"/>
      <c r="C25" s="2"/>
      <c r="D25" s="2"/>
      <c r="E25" s="2"/>
      <c r="F25" s="2"/>
      <c r="G25" s="11"/>
    </row>
    <row r="26" spans="1:7" ht="12.75">
      <c r="A26" s="13"/>
      <c r="B26" s="2"/>
      <c r="C26" s="2"/>
      <c r="D26" s="2"/>
      <c r="E26" s="2"/>
      <c r="F26" s="2"/>
      <c r="G26" s="11"/>
    </row>
    <row r="27" spans="1:7" ht="12.75">
      <c r="A27" s="13"/>
      <c r="B27" s="2"/>
      <c r="C27" s="2"/>
      <c r="D27" s="2"/>
      <c r="E27" s="2"/>
      <c r="F27" s="2"/>
      <c r="G27" s="11"/>
    </row>
    <row r="28" spans="1:7" ht="12.75">
      <c r="A28" s="13"/>
      <c r="B28" s="2"/>
      <c r="C28" s="2"/>
      <c r="D28" s="2"/>
      <c r="E28" s="2"/>
      <c r="F28" s="2"/>
      <c r="G28" s="11"/>
    </row>
    <row r="29" spans="1:7" ht="12.75">
      <c r="A29" s="13"/>
      <c r="B29" s="2"/>
      <c r="C29" s="2"/>
      <c r="D29" s="2"/>
      <c r="E29" s="2"/>
      <c r="F29" s="2"/>
      <c r="G29" s="11"/>
    </row>
    <row r="30" spans="1:7" ht="12.75">
      <c r="A30" s="13"/>
      <c r="B30" s="2"/>
      <c r="C30" s="2"/>
      <c r="D30" s="2"/>
      <c r="E30" s="2"/>
      <c r="F30" s="2"/>
      <c r="G30" s="11"/>
    </row>
    <row r="31" spans="1:7" ht="12.75">
      <c r="A31" s="13"/>
      <c r="B31" s="2"/>
      <c r="C31" s="2"/>
      <c r="D31" s="2"/>
      <c r="E31" s="2"/>
      <c r="F31" s="2"/>
      <c r="G31" s="11"/>
    </row>
    <row r="32" spans="1:7" ht="12.75">
      <c r="A32" s="13"/>
      <c r="B32" s="2"/>
      <c r="C32" s="2"/>
      <c r="D32" s="2"/>
      <c r="E32" s="2"/>
      <c r="F32" s="2"/>
      <c r="G32" s="11"/>
    </row>
    <row r="33" spans="1:7" ht="12.75">
      <c r="A33" s="13"/>
      <c r="B33" s="2"/>
      <c r="C33" s="2"/>
      <c r="D33" s="2"/>
      <c r="E33" s="2"/>
      <c r="F33" s="2"/>
      <c r="G33" s="11"/>
    </row>
    <row r="34" spans="1:7" ht="12.75">
      <c r="A34" s="13"/>
      <c r="B34" s="2"/>
      <c r="C34" s="2"/>
      <c r="D34" s="2"/>
      <c r="E34" s="2"/>
      <c r="F34" s="2"/>
      <c r="G34" s="11"/>
    </row>
    <row r="35" spans="1:7" ht="12.75">
      <c r="A35" s="13"/>
      <c r="B35" s="2"/>
      <c r="C35" s="2"/>
      <c r="D35" s="2"/>
      <c r="E35" s="2"/>
      <c r="F35" s="2"/>
      <c r="G35" s="11"/>
    </row>
    <row r="36" spans="1:7" ht="12.75">
      <c r="A36" s="13"/>
      <c r="B36" s="2"/>
      <c r="C36" s="2"/>
      <c r="D36" s="2"/>
      <c r="E36" s="2"/>
      <c r="F36" s="2"/>
      <c r="G36" s="11"/>
    </row>
    <row r="37" spans="1:7" ht="12.75">
      <c r="A37" s="13"/>
      <c r="B37" s="2"/>
      <c r="C37" s="2"/>
      <c r="D37" s="2"/>
      <c r="E37" s="2"/>
      <c r="F37" s="2"/>
      <c r="G37" s="11"/>
    </row>
    <row r="38" spans="1:7" ht="12.75">
      <c r="A38" s="13"/>
      <c r="B38" s="2"/>
      <c r="C38" s="2"/>
      <c r="D38" s="2"/>
      <c r="E38" s="2"/>
      <c r="F38" s="2"/>
      <c r="G38" s="11"/>
    </row>
    <row r="39" spans="1:7" ht="12.75">
      <c r="A39" s="13"/>
      <c r="B39" s="2"/>
      <c r="C39" s="2"/>
      <c r="D39" s="2"/>
      <c r="E39" s="2"/>
      <c r="F39" s="2"/>
      <c r="G39" s="11"/>
    </row>
    <row r="40" spans="1:7" s="2" customFormat="1" ht="12.75">
      <c r="A40" s="13"/>
      <c r="G40" s="11"/>
    </row>
    <row r="41" spans="1:7" s="172" customFormat="1" ht="12.75">
      <c r="A41" s="213"/>
      <c r="G41" s="214"/>
    </row>
    <row r="42" spans="1:7" ht="12.75">
      <c r="A42" s="215"/>
      <c r="B42" s="216"/>
      <c r="C42" s="216"/>
      <c r="D42" s="216"/>
      <c r="E42" s="216"/>
      <c r="F42" s="216"/>
      <c r="G42" s="217"/>
    </row>
    <row r="43" spans="1:7" ht="12.75">
      <c r="A43" s="13"/>
      <c r="B43" s="2"/>
      <c r="C43" s="2"/>
      <c r="D43" s="2"/>
      <c r="E43" s="2"/>
      <c r="F43" s="2"/>
      <c r="G43" s="11"/>
    </row>
    <row r="44" spans="1:7" ht="12.75">
      <c r="A44" s="13"/>
      <c r="B44" s="2"/>
      <c r="C44" s="2"/>
      <c r="D44" s="2"/>
      <c r="E44" s="2"/>
      <c r="F44" s="2"/>
      <c r="G44" s="11"/>
    </row>
    <row r="45" spans="1:7" ht="12.75">
      <c r="A45" s="13"/>
      <c r="B45" s="2"/>
      <c r="C45" s="2"/>
      <c r="D45" s="2"/>
      <c r="E45" s="2"/>
      <c r="F45" s="2"/>
      <c r="G45" s="11"/>
    </row>
    <row r="46" spans="1:7" ht="12.75">
      <c r="A46" s="13"/>
      <c r="B46" s="2"/>
      <c r="C46" s="2"/>
      <c r="D46" s="2"/>
      <c r="E46" s="2"/>
      <c r="F46" s="2"/>
      <c r="G46" s="11"/>
    </row>
    <row r="47" spans="1:7" ht="12.75">
      <c r="A47" s="13"/>
      <c r="B47" s="2"/>
      <c r="C47" s="2"/>
      <c r="D47" s="2"/>
      <c r="E47" s="2"/>
      <c r="F47" s="2"/>
      <c r="G47" s="11"/>
    </row>
    <row r="48" spans="1:7" ht="12.75">
      <c r="A48" s="13"/>
      <c r="B48" s="2"/>
      <c r="C48" s="2"/>
      <c r="D48" s="2"/>
      <c r="E48" s="2"/>
      <c r="F48" s="2"/>
      <c r="G48" s="11"/>
    </row>
    <row r="49" spans="1:7" ht="12.75">
      <c r="A49" s="13"/>
      <c r="B49" s="2"/>
      <c r="C49" s="2"/>
      <c r="D49" s="2"/>
      <c r="E49" s="2"/>
      <c r="F49" s="2"/>
      <c r="G49" s="11"/>
    </row>
    <row r="50" spans="1:7" ht="12.75">
      <c r="A50" s="13"/>
      <c r="B50" s="2"/>
      <c r="C50" s="2"/>
      <c r="D50" s="2"/>
      <c r="E50" s="2"/>
      <c r="F50" s="2"/>
      <c r="G50" s="11"/>
    </row>
    <row r="51" spans="1:7" ht="12.75">
      <c r="A51" s="13"/>
      <c r="B51" s="2"/>
      <c r="C51" s="2"/>
      <c r="D51" s="2"/>
      <c r="E51" s="2"/>
      <c r="F51" s="2"/>
      <c r="G51" s="11"/>
    </row>
    <row r="52" spans="1:7" ht="12.75">
      <c r="A52" s="13"/>
      <c r="B52" s="2"/>
      <c r="C52" s="2"/>
      <c r="D52" s="2"/>
      <c r="E52" s="2"/>
      <c r="F52" s="2"/>
      <c r="G52" s="11"/>
    </row>
    <row r="53" spans="1:7" ht="12.75">
      <c r="A53" s="13"/>
      <c r="B53" s="2"/>
      <c r="C53" s="2"/>
      <c r="D53" s="2"/>
      <c r="E53" s="2"/>
      <c r="F53" s="2"/>
      <c r="G53" s="11"/>
    </row>
    <row r="54" spans="1:7" ht="12.75">
      <c r="A54" s="13"/>
      <c r="B54" s="2"/>
      <c r="C54" s="2"/>
      <c r="D54" s="2"/>
      <c r="E54" s="2"/>
      <c r="F54" s="2"/>
      <c r="G54" s="11"/>
    </row>
    <row r="55" spans="1:7" ht="12.75">
      <c r="A55" s="13"/>
      <c r="B55" s="2"/>
      <c r="C55" s="2"/>
      <c r="D55" s="2"/>
      <c r="E55" s="2"/>
      <c r="F55" s="2"/>
      <c r="G55" s="11"/>
    </row>
    <row r="56" spans="1:7" ht="12.75">
      <c r="A56" s="13"/>
      <c r="B56" s="2"/>
      <c r="C56" s="2"/>
      <c r="D56" s="2"/>
      <c r="E56" s="2"/>
      <c r="F56" s="2"/>
      <c r="G56" s="11"/>
    </row>
    <row r="57" spans="1:7" ht="12.75">
      <c r="A57" s="13"/>
      <c r="B57" s="2"/>
      <c r="C57" s="2"/>
      <c r="D57" s="2"/>
      <c r="E57" s="2"/>
      <c r="F57" s="2"/>
      <c r="G57" s="11"/>
    </row>
    <row r="58" spans="1:7" ht="12.75">
      <c r="A58" s="13"/>
      <c r="B58" s="2"/>
      <c r="C58" s="2"/>
      <c r="D58" s="2"/>
      <c r="E58" s="2"/>
      <c r="F58" s="2"/>
      <c r="G58" s="11"/>
    </row>
    <row r="59" spans="1:7" ht="12.75">
      <c r="A59" s="13"/>
      <c r="B59" s="2"/>
      <c r="C59" s="2"/>
      <c r="D59" s="2"/>
      <c r="E59" s="2"/>
      <c r="F59" s="2"/>
      <c r="G59" s="11"/>
    </row>
    <row r="60" spans="1:7" ht="12.75">
      <c r="A60" s="13"/>
      <c r="B60" s="2"/>
      <c r="C60" s="2"/>
      <c r="D60" s="2"/>
      <c r="E60" s="2"/>
      <c r="F60" s="2"/>
      <c r="G60" s="11"/>
    </row>
    <row r="61" spans="1:7" ht="12.75">
      <c r="A61" s="13"/>
      <c r="B61" s="2"/>
      <c r="C61" s="2"/>
      <c r="D61" s="2"/>
      <c r="E61" s="2"/>
      <c r="F61" s="2"/>
      <c r="G61" s="11"/>
    </row>
    <row r="62" spans="1:7" ht="12.75">
      <c r="A62" s="13"/>
      <c r="B62" s="2"/>
      <c r="C62" s="2"/>
      <c r="D62" s="2"/>
      <c r="E62" s="2"/>
      <c r="F62" s="2"/>
      <c r="G62" s="11"/>
    </row>
    <row r="63" spans="1:7" ht="12.75">
      <c r="A63" s="13"/>
      <c r="B63" s="2"/>
      <c r="C63" s="2"/>
      <c r="D63" s="2"/>
      <c r="E63" s="2"/>
      <c r="F63" s="2"/>
      <c r="G63" s="11"/>
    </row>
    <row r="64" spans="1:7" ht="13.5" thickBot="1">
      <c r="A64" s="15"/>
      <c r="B64" s="7"/>
      <c r="C64" s="7"/>
      <c r="D64" s="7"/>
      <c r="E64" s="7"/>
      <c r="F64" s="7"/>
      <c r="G64" s="16"/>
    </row>
    <row r="65" spans="1:7" ht="12.75">
      <c r="A65" s="211"/>
      <c r="B65" s="212"/>
      <c r="C65" s="212"/>
      <c r="D65" s="212"/>
      <c r="E65" s="212"/>
      <c r="F65" s="212"/>
      <c r="G65" s="30"/>
    </row>
    <row r="66" spans="1:7" ht="12.75">
      <c r="A66" s="13"/>
      <c r="B66" s="2"/>
      <c r="C66" s="2"/>
      <c r="D66" s="2"/>
      <c r="E66" s="2"/>
      <c r="F66" s="2"/>
      <c r="G66" s="11"/>
    </row>
    <row r="67" spans="1:7" ht="12.75">
      <c r="A67" s="13"/>
      <c r="B67" s="2"/>
      <c r="C67" s="2"/>
      <c r="D67" s="2"/>
      <c r="E67" s="2"/>
      <c r="F67" s="2"/>
      <c r="G67" s="11"/>
    </row>
    <row r="68" spans="1:7" ht="12.75">
      <c r="A68" s="13"/>
      <c r="B68" s="2"/>
      <c r="C68" s="2"/>
      <c r="D68" s="2"/>
      <c r="E68" s="2"/>
      <c r="F68" s="2"/>
      <c r="G68" s="11"/>
    </row>
    <row r="69" spans="1:7" ht="12.75">
      <c r="A69" s="13"/>
      <c r="B69" s="2"/>
      <c r="C69" s="2"/>
      <c r="D69" s="2"/>
      <c r="E69" s="2"/>
      <c r="F69" s="2"/>
      <c r="G69" s="11"/>
    </row>
    <row r="70" spans="1:7" ht="12.75">
      <c r="A70" s="13"/>
      <c r="B70" s="2"/>
      <c r="C70" s="2"/>
      <c r="D70" s="2"/>
      <c r="E70" s="2"/>
      <c r="F70" s="2"/>
      <c r="G70" s="11"/>
    </row>
    <row r="71" spans="1:7" ht="12.75">
      <c r="A71" s="13"/>
      <c r="B71" s="2"/>
      <c r="C71" s="2"/>
      <c r="D71" s="2"/>
      <c r="E71" s="2"/>
      <c r="F71" s="2"/>
      <c r="G71" s="11"/>
    </row>
    <row r="72" spans="1:7" ht="12.75">
      <c r="A72" s="13"/>
      <c r="B72" s="2"/>
      <c r="C72" s="2"/>
      <c r="D72" s="2"/>
      <c r="E72" s="2"/>
      <c r="F72" s="2"/>
      <c r="G72" s="11"/>
    </row>
    <row r="73" spans="1:7" ht="12.75">
      <c r="A73" s="13"/>
      <c r="B73" s="2"/>
      <c r="C73" s="2"/>
      <c r="D73" s="2"/>
      <c r="E73" s="2"/>
      <c r="F73" s="2"/>
      <c r="G73" s="11"/>
    </row>
    <row r="74" spans="1:7" ht="12.75">
      <c r="A74" s="13"/>
      <c r="B74" s="2"/>
      <c r="C74" s="2"/>
      <c r="D74" s="2"/>
      <c r="E74" s="2"/>
      <c r="F74" s="2"/>
      <c r="G74" s="11"/>
    </row>
    <row r="75" spans="1:7" ht="12.75">
      <c r="A75" s="13"/>
      <c r="B75" s="2"/>
      <c r="C75" s="2"/>
      <c r="D75" s="2"/>
      <c r="E75" s="2"/>
      <c r="F75" s="2"/>
      <c r="G75" s="11"/>
    </row>
    <row r="76" spans="1:7" ht="12.75">
      <c r="A76" s="13"/>
      <c r="B76" s="2"/>
      <c r="C76" s="2"/>
      <c r="D76" s="2"/>
      <c r="E76" s="2"/>
      <c r="F76" s="2"/>
      <c r="G76" s="11"/>
    </row>
    <row r="77" spans="1:7" ht="12.75">
      <c r="A77" s="13"/>
      <c r="B77" s="2"/>
      <c r="C77" s="2"/>
      <c r="D77" s="2"/>
      <c r="E77" s="2"/>
      <c r="F77" s="2"/>
      <c r="G77" s="11"/>
    </row>
    <row r="78" spans="1:7" ht="12.75">
      <c r="A78" s="13"/>
      <c r="B78" s="2"/>
      <c r="C78" s="2"/>
      <c r="D78" s="2"/>
      <c r="E78" s="2"/>
      <c r="F78" s="2"/>
      <c r="G78" s="11"/>
    </row>
    <row r="79" spans="1:7" ht="12.75">
      <c r="A79" s="13"/>
      <c r="B79" s="2"/>
      <c r="C79" s="2"/>
      <c r="D79" s="2"/>
      <c r="E79" s="2"/>
      <c r="F79" s="2"/>
      <c r="G79" s="11"/>
    </row>
    <row r="80" spans="1:7" ht="12.75">
      <c r="A80" s="13"/>
      <c r="B80" s="2"/>
      <c r="C80" s="2"/>
      <c r="D80" s="2"/>
      <c r="E80" s="2"/>
      <c r="F80" s="2"/>
      <c r="G80" s="11"/>
    </row>
    <row r="81" spans="1:7" ht="13.5" thickBot="1">
      <c r="A81" s="15"/>
      <c r="B81" s="7"/>
      <c r="C81" s="7"/>
      <c r="D81" s="7"/>
      <c r="E81" s="7"/>
      <c r="F81" s="7"/>
      <c r="G81" s="16"/>
    </row>
  </sheetData>
  <printOptions/>
  <pageMargins left="0.75" right="0.75" top="1" bottom="1" header="0.5" footer="0.5"/>
  <pageSetup horizontalDpi="600" verticalDpi="600" orientation="portrait" r:id="rId2"/>
  <headerFooter alignWithMargins="0">
    <oddFooter>&amp;LFile:  &amp;F
Sheet:  &amp;A
Page &amp;P of &amp;N&amp;CExperimental Mine
Val-d'Or&amp;R&amp;D
&amp;T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NRCan/RNCan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rolacroi</dc:creator>
  <cp:keywords/>
  <dc:description/>
  <cp:lastModifiedBy>Roger Lacroix</cp:lastModifiedBy>
  <cp:lastPrinted>2002-12-18T18:14:35Z</cp:lastPrinted>
  <dcterms:created xsi:type="dcterms:W3CDTF">2000-06-27T14:00:10Z</dcterms:created>
  <dcterms:modified xsi:type="dcterms:W3CDTF">2004-01-06T14:45:40Z</dcterms:modified>
  <cp:category/>
  <cp:version/>
  <cp:contentType/>
  <cp:contentStatus/>
</cp:coreProperties>
</file>